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BB096595-B496-419C-AB8D-355769B0C7B3}" xr6:coauthVersionLast="47" xr6:coauthVersionMax="47" xr10:uidLastSave="{00000000-0000-0000-0000-000000000000}"/>
  <bookViews>
    <workbookView xWindow="1800" yWindow="840" windowWidth="25605" windowHeight="14325"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19" i="4" l="1"/>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B120" i="4"/>
  <c r="K120" i="4" s="1"/>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B122" i="4"/>
  <c r="K122" i="4" s="1"/>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B124" i="4"/>
  <c r="K124" i="4" s="1"/>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B127" i="4"/>
  <c r="K127" i="4" s="1"/>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B133" i="4"/>
  <c r="K133" i="4" s="1"/>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B142" i="4"/>
  <c r="K142" i="4" s="1"/>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B146" i="4"/>
  <c r="K146" i="4" s="1"/>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AN131" i="7"/>
  <c r="T132" i="7"/>
  <c r="W132" i="7"/>
  <c r="AQ131" i="7"/>
  <c r="E104" i="11"/>
  <c r="C131" i="7"/>
  <c r="Y134" i="7"/>
  <c r="AS133" i="7"/>
  <c r="V132" i="7"/>
  <c r="AP131" i="7"/>
  <c r="AR165" i="7"/>
  <c r="M132" i="7"/>
  <c r="AE131" i="7"/>
  <c r="J132" i="7"/>
  <c r="AB131" i="7"/>
  <c r="H132" i="7"/>
  <c r="Z131" i="7"/>
  <c r="G103" i="16"/>
  <c r="BB102" i="18" l="1"/>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L20" i="23"/>
  <c r="P112" i="6"/>
  <c r="T112" i="6" s="1"/>
  <c r="AM43" i="6" s="1"/>
  <c r="Y20" i="23"/>
  <c r="P98" i="6"/>
  <c r="T98" i="6" s="1"/>
  <c r="AM29" i="6" s="1"/>
  <c r="K20" i="23"/>
  <c r="T99" i="6"/>
  <c r="AM30"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<sst xmlns="http://schemas.openxmlformats.org/spreadsheetml/2006/main" count="3697" uniqueCount="827">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</sst>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1">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applyBorder="1"/>
    <xf numFmtId="178" fontId="0" fillId="18" borderId="80"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16398.75258472086</c:v>
                </c:pt>
                <c:pt idx="11">
                  <c:v>15965.759427936568</c:v>
                </c:pt>
                <c:pt idx="12">
                  <c:v>15521.170912111349</c:v>
                </c:pt>
                <c:pt idx="13">
                  <c:v>15069.340649200796</c:v>
                </c:pt>
                <c:pt idx="14">
                  <c:v>14615.141834249252</c:v>
                </c:pt>
                <c:pt idx="15">
                  <c:v>14156.68325854351</c:v>
                </c:pt>
                <c:pt idx="16">
                  <c:v>13695.636068087801</c:v>
                </c:pt>
                <c:pt idx="17">
                  <c:v>13243.749401820489</c:v>
                </c:pt>
                <c:pt idx="18">
                  <c:v>12799.36662662356</c:v>
                </c:pt>
                <c:pt idx="19">
                  <c:v>12369.615228020652</c:v>
                </c:pt>
                <c:pt idx="20">
                  <c:v>11954.024883827069</c:v>
                </c:pt>
                <c:pt idx="21">
                  <c:v>11552.142485347564</c:v>
                </c:pt>
                <c:pt idx="22">
                  <c:v>11163.574426694926</c:v>
                </c:pt>
                <c:pt idx="23">
                  <c:v>10787.51916864466</c:v>
                </c:pt>
                <c:pt idx="24">
                  <c:v>10423.214157988392</c:v>
                </c:pt>
                <c:pt idx="25">
                  <c:v>10069.933932863858</c:v>
                </c:pt>
                <c:pt idx="26">
                  <c:v>9736.79872957308</c:v>
                </c:pt>
                <c:pt idx="27">
                  <c:v>9444.2709620035221</c:v>
                </c:pt>
                <c:pt idx="28">
                  <c:v>9172.2955288856774</c:v>
                </c:pt>
                <c:pt idx="29">
                  <c:v>8915.9816177917237</c:v>
                </c:pt>
                <c:pt idx="30">
                  <c:v>8674.7366150228972</c:v>
                </c:pt>
                <c:pt idx="31">
                  <c:v>8447.9847513060668</c:v>
                </c:pt>
                <c:pt idx="32">
                  <c:v>8231.9757005015126</c:v>
                </c:pt>
                <c:pt idx="33">
                  <c:v>8026.4525918063873</c:v>
                </c:pt>
                <c:pt idx="34">
                  <c:v>7831.2055337894481</c:v>
                </c:pt>
                <c:pt idx="35">
                  <c:v>7646.0312279865975</c:v>
                </c:pt>
                <c:pt idx="36">
                  <c:v>7470.7255858411881</c:v>
                </c:pt>
                <c:pt idx="37">
                  <c:v>7295.0802085724645</c:v>
                </c:pt>
                <c:pt idx="38">
                  <c:v>7119.1093713034979</c:v>
                </c:pt>
                <c:pt idx="39">
                  <c:v>6948.9170564472624</c:v>
                </c:pt>
                <c:pt idx="40">
                  <c:v>6784.4276220287993</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966.59452967980178</c:v>
                </c:pt>
                <c:pt idx="10">
                  <c:v>993.9369846547994</c:v>
                </c:pt>
                <c:pt idx="11">
                  <c:v>1052.9373589153797</c:v>
                </c:pt>
                <c:pt idx="12">
                  <c:v>1108.9601998862627</c:v>
                </c:pt>
                <c:pt idx="13">
                  <c:v>1170.8361920719929</c:v>
                </c:pt>
                <c:pt idx="14">
                  <c:v>1233.2524094397813</c:v>
                </c:pt>
                <c:pt idx="15">
                  <c:v>1294.7298748213489</c:v>
                </c:pt>
                <c:pt idx="16">
                  <c:v>1355.6506062112462</c:v>
                </c:pt>
                <c:pt idx="17">
                  <c:v>1416.0616512442098</c:v>
                </c:pt>
                <c:pt idx="18">
                  <c:v>1422.7903953324426</c:v>
                </c:pt>
                <c:pt idx="19">
                  <c:v>1431.3694690251662</c:v>
                </c:pt>
                <c:pt idx="20">
                  <c:v>1438.9206609531357</c:v>
                </c:pt>
                <c:pt idx="21">
                  <c:v>1434.0118329202196</c:v>
                </c:pt>
                <c:pt idx="22">
                  <c:v>1447.6306152129985</c:v>
                </c:pt>
                <c:pt idx="23">
                  <c:v>1460.7997979665399</c:v>
                </c:pt>
                <c:pt idx="24">
                  <c:v>1476.9938373252571</c:v>
                </c:pt>
                <c:pt idx="25">
                  <c:v>1490.7366213146579</c:v>
                </c:pt>
                <c:pt idx="26">
                  <c:v>1504.3966288100255</c:v>
                </c:pt>
                <c:pt idx="27">
                  <c:v>1519.248984754754</c:v>
                </c:pt>
                <c:pt idx="28">
                  <c:v>1533.6618611559461</c:v>
                </c:pt>
                <c:pt idx="29">
                  <c:v>1548.38777635819</c:v>
                </c:pt>
                <c:pt idx="30">
                  <c:v>1563.2995762336625</c:v>
                </c:pt>
                <c:pt idx="31">
                  <c:v>1579.7579583132253</c:v>
                </c:pt>
                <c:pt idx="32">
                  <c:v>1594.9370068512669</c:v>
                </c:pt>
                <c:pt idx="33">
                  <c:v>1610.1449270600401</c:v>
                </c:pt>
                <c:pt idx="34">
                  <c:v>1625.6855118164754</c:v>
                </c:pt>
                <c:pt idx="35">
                  <c:v>1641.6678973284941</c:v>
                </c:pt>
                <c:pt idx="36">
                  <c:v>1659.4705759601713</c:v>
                </c:pt>
                <c:pt idx="37">
                  <c:v>1673.3782791689821</c:v>
                </c:pt>
                <c:pt idx="38">
                  <c:v>1687.6348557452882</c:v>
                </c:pt>
                <c:pt idx="39">
                  <c:v>1701.4762295212363</c:v>
                </c:pt>
                <c:pt idx="40">
                  <c:v>1715.7337819075735</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16398.75258472086</c:v>
                </c:pt>
                <c:pt idx="11">
                  <c:v>15965.759427936568</c:v>
                </c:pt>
                <c:pt idx="12">
                  <c:v>15521.170912111349</c:v>
                </c:pt>
                <c:pt idx="13">
                  <c:v>15069.340649200796</c:v>
                </c:pt>
                <c:pt idx="14">
                  <c:v>14615.141834249252</c:v>
                </c:pt>
                <c:pt idx="15">
                  <c:v>14156.68325854351</c:v>
                </c:pt>
                <c:pt idx="16">
                  <c:v>13695.636068087801</c:v>
                </c:pt>
                <c:pt idx="17">
                  <c:v>13243.749401820489</c:v>
                </c:pt>
                <c:pt idx="18">
                  <c:v>12799.36662662356</c:v>
                </c:pt>
                <c:pt idx="19">
                  <c:v>12369.615228020652</c:v>
                </c:pt>
                <c:pt idx="20">
                  <c:v>11954.024883827069</c:v>
                </c:pt>
                <c:pt idx="21">
                  <c:v>11552.142485347564</c:v>
                </c:pt>
                <c:pt idx="22">
                  <c:v>11163.574426694926</c:v>
                </c:pt>
                <c:pt idx="23">
                  <c:v>10787.51916864466</c:v>
                </c:pt>
                <c:pt idx="24">
                  <c:v>10423.214157988392</c:v>
                </c:pt>
                <c:pt idx="25">
                  <c:v>10069.933932863858</c:v>
                </c:pt>
                <c:pt idx="26">
                  <c:v>9736.79872957308</c:v>
                </c:pt>
                <c:pt idx="27">
                  <c:v>9444.2709620035221</c:v>
                </c:pt>
                <c:pt idx="28">
                  <c:v>9172.2955288856774</c:v>
                </c:pt>
                <c:pt idx="29">
                  <c:v>8915.9816177917237</c:v>
                </c:pt>
                <c:pt idx="30">
                  <c:v>8674.7366150228972</c:v>
                </c:pt>
                <c:pt idx="31">
                  <c:v>8447.9847513060668</c:v>
                </c:pt>
                <c:pt idx="32">
                  <c:v>8231.9757005015126</c:v>
                </c:pt>
                <c:pt idx="33">
                  <c:v>8026.4525918063873</c:v>
                </c:pt>
                <c:pt idx="34">
                  <c:v>7831.2055337894481</c:v>
                </c:pt>
                <c:pt idx="35">
                  <c:v>7646.0312279865975</c:v>
                </c:pt>
                <c:pt idx="36">
                  <c:v>7470.7255858411881</c:v>
                </c:pt>
                <c:pt idx="37">
                  <c:v>7295.0802085724645</c:v>
                </c:pt>
                <c:pt idx="38">
                  <c:v>7119.1093713034979</c:v>
                </c:pt>
                <c:pt idx="39">
                  <c:v>6948.9170564472624</c:v>
                </c:pt>
                <c:pt idx="40">
                  <c:v>6784.4276220287993</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966.59452967980178</c:v>
                </c:pt>
                <c:pt idx="10">
                  <c:v>993.9369846547994</c:v>
                </c:pt>
                <c:pt idx="11">
                  <c:v>1052.9373589153797</c:v>
                </c:pt>
                <c:pt idx="12">
                  <c:v>1108.9601998862627</c:v>
                </c:pt>
                <c:pt idx="13">
                  <c:v>1170.8361920719929</c:v>
                </c:pt>
                <c:pt idx="14">
                  <c:v>1233.2524094397813</c:v>
                </c:pt>
                <c:pt idx="15">
                  <c:v>1294.7298748213489</c:v>
                </c:pt>
                <c:pt idx="16">
                  <c:v>1355.6506062112462</c:v>
                </c:pt>
                <c:pt idx="17">
                  <c:v>1416.0616512442098</c:v>
                </c:pt>
                <c:pt idx="18">
                  <c:v>1422.7903953324426</c:v>
                </c:pt>
                <c:pt idx="19">
                  <c:v>1431.3694690251662</c:v>
                </c:pt>
                <c:pt idx="20">
                  <c:v>1438.9206609531357</c:v>
                </c:pt>
                <c:pt idx="21">
                  <c:v>1434.0118329202196</c:v>
                </c:pt>
                <c:pt idx="22">
                  <c:v>1447.6306152129985</c:v>
                </c:pt>
                <c:pt idx="23">
                  <c:v>1460.7997979665399</c:v>
                </c:pt>
                <c:pt idx="24">
                  <c:v>1476.9938373252571</c:v>
                </c:pt>
                <c:pt idx="25">
                  <c:v>1490.7366213146579</c:v>
                </c:pt>
                <c:pt idx="26">
                  <c:v>1504.3966288100255</c:v>
                </c:pt>
                <c:pt idx="27">
                  <c:v>1519.248984754754</c:v>
                </c:pt>
                <c:pt idx="28">
                  <c:v>1533.6618611559461</c:v>
                </c:pt>
                <c:pt idx="29">
                  <c:v>1548.38777635819</c:v>
                </c:pt>
                <c:pt idx="30">
                  <c:v>1563.2995762336625</c:v>
                </c:pt>
                <c:pt idx="31">
                  <c:v>1579.7579583132253</c:v>
                </c:pt>
                <c:pt idx="32">
                  <c:v>1594.9370068512669</c:v>
                </c:pt>
                <c:pt idx="33">
                  <c:v>1610.1449270600401</c:v>
                </c:pt>
                <c:pt idx="34">
                  <c:v>1625.6855118164754</c:v>
                </c:pt>
                <c:pt idx="35">
                  <c:v>1641.6678973284941</c:v>
                </c:pt>
                <c:pt idx="36">
                  <c:v>1659.4705759601713</c:v>
                </c:pt>
                <c:pt idx="37">
                  <c:v>1673.3782791689821</c:v>
                </c:pt>
                <c:pt idx="38">
                  <c:v>1687.6348557452882</c:v>
                </c:pt>
                <c:pt idx="39">
                  <c:v>1701.4762295212363</c:v>
                </c:pt>
                <c:pt idx="40">
                  <c:v>1715.7337819075735</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16421.674813818114</c:v>
                </c:pt>
                <c:pt idx="11">
                  <c:v>15980.993576150302</c:v>
                </c:pt>
                <c:pt idx="12">
                  <c:v>15438.319229303508</c:v>
                </c:pt>
                <c:pt idx="13">
                  <c:v>14858.705480257062</c:v>
                </c:pt>
                <c:pt idx="14">
                  <c:v>14302.704940264979</c:v>
                </c:pt>
                <c:pt idx="15">
                  <c:v>13768.618406536101</c:v>
                </c:pt>
                <c:pt idx="16">
                  <c:v>13254.819594248453</c:v>
                </c:pt>
                <c:pt idx="17">
                  <c:v>12759.671603325651</c:v>
                </c:pt>
                <c:pt idx="18">
                  <c:v>12281.693105739001</c:v>
                </c:pt>
                <c:pt idx="19">
                  <c:v>11819.464466547775</c:v>
                </c:pt>
                <c:pt idx="20">
                  <c:v>11371.624345049284</c:v>
                </c:pt>
                <c:pt idx="21">
                  <c:v>10936.866436815888</c:v>
                </c:pt>
                <c:pt idx="22">
                  <c:v>10511.308320112737</c:v>
                </c:pt>
                <c:pt idx="23">
                  <c:v>10094.452935575424</c:v>
                </c:pt>
                <c:pt idx="24">
                  <c:v>9698.1709420382304</c:v>
                </c:pt>
                <c:pt idx="25">
                  <c:v>9321.4592618938968</c:v>
                </c:pt>
                <c:pt idx="26">
                  <c:v>8963.3636960484309</c:v>
                </c:pt>
                <c:pt idx="27">
                  <c:v>8622.9361202379278</c:v>
                </c:pt>
                <c:pt idx="28">
                  <c:v>8303.4520685094867</c:v>
                </c:pt>
                <c:pt idx="29">
                  <c:v>8008.046636228486</c:v>
                </c:pt>
                <c:pt idx="30">
                  <c:v>7735.6913783993896</c:v>
                </c:pt>
                <c:pt idx="31">
                  <c:v>7485.3977378459658</c:v>
                </c:pt>
                <c:pt idx="32">
                  <c:v>7255.6702919838917</c:v>
                </c:pt>
                <c:pt idx="33">
                  <c:v>7045.5918880688278</c:v>
                </c:pt>
                <c:pt idx="34">
                  <c:v>6854.3026537860942</c:v>
                </c:pt>
                <c:pt idx="35">
                  <c:v>6680.985179591863</c:v>
                </c:pt>
                <c:pt idx="36">
                  <c:v>6524.8599542508164</c:v>
                </c:pt>
                <c:pt idx="37">
                  <c:v>6377.6737395458194</c:v>
                </c:pt>
                <c:pt idx="38">
                  <c:v>6238.8725233033992</c:v>
                </c:pt>
                <c:pt idx="39">
                  <c:v>6108.0477358300896</c:v>
                </c:pt>
                <c:pt idx="40">
                  <c:v>5984.7919058767875</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966.59452967980178</c:v>
                </c:pt>
                <c:pt idx="10">
                  <c:v>1049.3967129716259</c:v>
                </c:pt>
                <c:pt idx="11">
                  <c:v>1273.0581060123072</c:v>
                </c:pt>
                <c:pt idx="12">
                  <c:v>1381.9634260444479</c:v>
                </c:pt>
                <c:pt idx="13">
                  <c:v>1389.238772998541</c:v>
                </c:pt>
                <c:pt idx="14">
                  <c:v>1397.0543451346925</c:v>
                </c:pt>
                <c:pt idx="15">
                  <c:v>1403.9311652846229</c:v>
                </c:pt>
                <c:pt idx="16">
                  <c:v>1410.2512514428831</c:v>
                </c:pt>
                <c:pt idx="17">
                  <c:v>1416.0616512442098</c:v>
                </c:pt>
                <c:pt idx="18">
                  <c:v>1422.7903953324426</c:v>
                </c:pt>
                <c:pt idx="19">
                  <c:v>1431.3694690251662</c:v>
                </c:pt>
                <c:pt idx="20">
                  <c:v>1438.9206609531357</c:v>
                </c:pt>
                <c:pt idx="21">
                  <c:v>1434.0118329202196</c:v>
                </c:pt>
                <c:pt idx="22">
                  <c:v>1447.6306152129985</c:v>
                </c:pt>
                <c:pt idx="23">
                  <c:v>1460.7997979665399</c:v>
                </c:pt>
                <c:pt idx="24">
                  <c:v>1476.9938373252571</c:v>
                </c:pt>
                <c:pt idx="25">
                  <c:v>1490.7366213146579</c:v>
                </c:pt>
                <c:pt idx="26">
                  <c:v>1504.3966288100255</c:v>
                </c:pt>
                <c:pt idx="27">
                  <c:v>1519.248984754754</c:v>
                </c:pt>
                <c:pt idx="28">
                  <c:v>1533.6618611559461</c:v>
                </c:pt>
                <c:pt idx="29">
                  <c:v>1548.38777635819</c:v>
                </c:pt>
                <c:pt idx="30">
                  <c:v>1563.2995762336625</c:v>
                </c:pt>
                <c:pt idx="31">
                  <c:v>1579.7579583132253</c:v>
                </c:pt>
                <c:pt idx="32">
                  <c:v>1594.9370068512669</c:v>
                </c:pt>
                <c:pt idx="33">
                  <c:v>1610.1449270600401</c:v>
                </c:pt>
                <c:pt idx="34">
                  <c:v>1625.6855118164754</c:v>
                </c:pt>
                <c:pt idx="35">
                  <c:v>1641.6678973284941</c:v>
                </c:pt>
                <c:pt idx="36">
                  <c:v>1659.4705759601713</c:v>
                </c:pt>
                <c:pt idx="37">
                  <c:v>1673.3782791689821</c:v>
                </c:pt>
                <c:pt idx="38">
                  <c:v>1687.6348557452882</c:v>
                </c:pt>
                <c:pt idx="39">
                  <c:v>1701.4762295212363</c:v>
                </c:pt>
                <c:pt idx="40">
                  <c:v>1715.7337819075735</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16421.674813818114</c:v>
                </c:pt>
                <c:pt idx="11">
                  <c:v>15980.993576150302</c:v>
                </c:pt>
                <c:pt idx="12">
                  <c:v>15438.319229303508</c:v>
                </c:pt>
                <c:pt idx="13">
                  <c:v>14858.705480257062</c:v>
                </c:pt>
                <c:pt idx="14">
                  <c:v>14302.704940264979</c:v>
                </c:pt>
                <c:pt idx="15">
                  <c:v>13768.618406536101</c:v>
                </c:pt>
                <c:pt idx="16">
                  <c:v>13254.819594248453</c:v>
                </c:pt>
                <c:pt idx="17">
                  <c:v>12759.671603325651</c:v>
                </c:pt>
                <c:pt idx="18">
                  <c:v>12281.693105739001</c:v>
                </c:pt>
                <c:pt idx="19">
                  <c:v>11819.464466547775</c:v>
                </c:pt>
                <c:pt idx="20">
                  <c:v>11371.624345049284</c:v>
                </c:pt>
                <c:pt idx="21">
                  <c:v>10936.866436815888</c:v>
                </c:pt>
                <c:pt idx="22">
                  <c:v>10511.308320112737</c:v>
                </c:pt>
                <c:pt idx="23">
                  <c:v>10094.452935575424</c:v>
                </c:pt>
                <c:pt idx="24">
                  <c:v>9698.1709420382304</c:v>
                </c:pt>
                <c:pt idx="25">
                  <c:v>9321.4592618938968</c:v>
                </c:pt>
                <c:pt idx="26">
                  <c:v>8963.3636960484309</c:v>
                </c:pt>
                <c:pt idx="27">
                  <c:v>8622.9361202379278</c:v>
                </c:pt>
                <c:pt idx="28">
                  <c:v>8303.4520685094867</c:v>
                </c:pt>
                <c:pt idx="29">
                  <c:v>8008.046636228486</c:v>
                </c:pt>
                <c:pt idx="30">
                  <c:v>7735.6913783993896</c:v>
                </c:pt>
                <c:pt idx="31">
                  <c:v>7485.3977378459658</c:v>
                </c:pt>
                <c:pt idx="32">
                  <c:v>7255.6702919838917</c:v>
                </c:pt>
                <c:pt idx="33">
                  <c:v>7045.5918880688278</c:v>
                </c:pt>
                <c:pt idx="34">
                  <c:v>6854.3026537860942</c:v>
                </c:pt>
                <c:pt idx="35">
                  <c:v>6680.985179591863</c:v>
                </c:pt>
                <c:pt idx="36">
                  <c:v>6524.8599542508164</c:v>
                </c:pt>
                <c:pt idx="37">
                  <c:v>6377.6737395458194</c:v>
                </c:pt>
                <c:pt idx="38">
                  <c:v>6238.8725233033992</c:v>
                </c:pt>
                <c:pt idx="39">
                  <c:v>6108.0477358300896</c:v>
                </c:pt>
                <c:pt idx="40">
                  <c:v>5984.7919058767875</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966.59452967980178</c:v>
                </c:pt>
                <c:pt idx="10">
                  <c:v>1049.3967129716259</c:v>
                </c:pt>
                <c:pt idx="11">
                  <c:v>1273.0581060123072</c:v>
                </c:pt>
                <c:pt idx="12">
                  <c:v>1381.9634260444479</c:v>
                </c:pt>
                <c:pt idx="13">
                  <c:v>1389.238772998541</c:v>
                </c:pt>
                <c:pt idx="14">
                  <c:v>1397.0543451346925</c:v>
                </c:pt>
                <c:pt idx="15">
                  <c:v>1403.9311652846229</c:v>
                </c:pt>
                <c:pt idx="16">
                  <c:v>1410.2512514428831</c:v>
                </c:pt>
                <c:pt idx="17">
                  <c:v>1416.0616512442098</c:v>
                </c:pt>
                <c:pt idx="18">
                  <c:v>1422.7903953324426</c:v>
                </c:pt>
                <c:pt idx="19">
                  <c:v>1431.3694690251662</c:v>
                </c:pt>
                <c:pt idx="20">
                  <c:v>1438.9206609531357</c:v>
                </c:pt>
                <c:pt idx="21">
                  <c:v>1434.0118329202196</c:v>
                </c:pt>
                <c:pt idx="22">
                  <c:v>1447.6306152129985</c:v>
                </c:pt>
                <c:pt idx="23">
                  <c:v>1460.7997979665399</c:v>
                </c:pt>
                <c:pt idx="24">
                  <c:v>1476.9938373252571</c:v>
                </c:pt>
                <c:pt idx="25">
                  <c:v>1490.7366213146579</c:v>
                </c:pt>
                <c:pt idx="26">
                  <c:v>1504.3966288100255</c:v>
                </c:pt>
                <c:pt idx="27">
                  <c:v>1519.248984754754</c:v>
                </c:pt>
                <c:pt idx="28">
                  <c:v>1533.6618611559461</c:v>
                </c:pt>
                <c:pt idx="29">
                  <c:v>1548.38777635819</c:v>
                </c:pt>
                <c:pt idx="30">
                  <c:v>1563.2995762336625</c:v>
                </c:pt>
                <c:pt idx="31">
                  <c:v>1579.7579583132253</c:v>
                </c:pt>
                <c:pt idx="32">
                  <c:v>1594.9370068512669</c:v>
                </c:pt>
                <c:pt idx="33">
                  <c:v>1610.1449270600401</c:v>
                </c:pt>
                <c:pt idx="34">
                  <c:v>1625.6855118164754</c:v>
                </c:pt>
                <c:pt idx="35">
                  <c:v>1641.6678973284941</c:v>
                </c:pt>
                <c:pt idx="36">
                  <c:v>1659.4705759601713</c:v>
                </c:pt>
                <c:pt idx="37">
                  <c:v>1673.3782791689821</c:v>
                </c:pt>
                <c:pt idx="38">
                  <c:v>1687.6348557452882</c:v>
                </c:pt>
                <c:pt idx="39">
                  <c:v>1701.4762295212363</c:v>
                </c:pt>
                <c:pt idx="40">
                  <c:v>1715.7337819075735</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16421.697356619788</c:v>
                </c:pt>
                <c:pt idx="11">
                  <c:v>15981.038286620123</c:v>
                </c:pt>
                <c:pt idx="12">
                  <c:v>15438.393003793937</c:v>
                </c:pt>
                <c:pt idx="13">
                  <c:v>14858.814998935199</c:v>
                </c:pt>
                <c:pt idx="14">
                  <c:v>14302.856682886855</c:v>
                </c:pt>
                <c:pt idx="15">
                  <c:v>13768.818667351083</c:v>
                </c:pt>
                <c:pt idx="16">
                  <c:v>13255.074496085181</c:v>
                </c:pt>
                <c:pt idx="17">
                  <c:v>12759.986986510228</c:v>
                </c:pt>
                <c:pt idx="18">
                  <c:v>12282.074641731779</c:v>
                </c:pt>
                <c:pt idx="19">
                  <c:v>11819.91767027495</c:v>
                </c:pt>
                <c:pt idx="20">
                  <c:v>11372.15458654895</c:v>
                </c:pt>
                <c:pt idx="21">
                  <c:v>10937.47895223886</c:v>
                </c:pt>
                <c:pt idx="22">
                  <c:v>10511.999283875322</c:v>
                </c:pt>
                <c:pt idx="23">
                  <c:v>10095.218753119927</c:v>
                </c:pt>
                <c:pt idx="24">
                  <c:v>9699.0082364493792</c:v>
                </c:pt>
                <c:pt idx="25">
                  <c:v>9322.364861295262</c:v>
                </c:pt>
                <c:pt idx="26">
                  <c:v>8964.3346217334511</c:v>
                </c:pt>
                <c:pt idx="27">
                  <c:v>8623.9694322671185</c:v>
                </c:pt>
                <c:pt idx="28">
                  <c:v>8304.5450044802838</c:v>
                </c:pt>
                <c:pt idx="29">
                  <c:v>8009.1966009826183</c:v>
                </c:pt>
                <c:pt idx="30">
                  <c:v>7736.8959343300048</c:v>
                </c:pt>
                <c:pt idx="31">
                  <c:v>7486.6545957695607</c:v>
                </c:pt>
                <c:pt idx="32">
                  <c:v>7256.9771665970184</c:v>
                </c:pt>
                <c:pt idx="33">
                  <c:v>7046.9466318773348</c:v>
                </c:pt>
                <c:pt idx="34">
                  <c:v>6855.7032491090731</c:v>
                </c:pt>
                <c:pt idx="35">
                  <c:v>6682.429731031435</c:v>
                </c:pt>
                <c:pt idx="36">
                  <c:v>6526.3466816006267</c:v>
                </c:pt>
                <c:pt idx="37">
                  <c:v>6379.2008314135428</c:v>
                </c:pt>
                <c:pt idx="38">
                  <c:v>6240.4382770752891</c:v>
                </c:pt>
                <c:pt idx="39">
                  <c:v>6109.6505513530101</c:v>
                </c:pt>
                <c:pt idx="40">
                  <c:v>5986.430279508254</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817.44624520032187</c:v>
                </c:pt>
                <c:pt idx="10">
                  <c:v>805.23219117886299</c:v>
                </c:pt>
                <c:pt idx="11">
                  <c:v>875.72946041729608</c:v>
                </c:pt>
                <c:pt idx="12">
                  <c:v>839.29559152449838</c:v>
                </c:pt>
                <c:pt idx="13">
                  <c:v>843.71406346833191</c:v>
                </c:pt>
                <c:pt idx="14">
                  <c:v>848.46062558096969</c:v>
                </c:pt>
                <c:pt idx="15">
                  <c:v>852.63706377518713</c:v>
                </c:pt>
                <c:pt idx="16">
                  <c:v>856.47538565166769</c:v>
                </c:pt>
                <c:pt idx="17">
                  <c:v>860.00416423317233</c:v>
                </c:pt>
                <c:pt idx="18">
                  <c:v>864.09067270605908</c:v>
                </c:pt>
                <c:pt idx="19">
                  <c:v>869.30092544789613</c:v>
                </c:pt>
                <c:pt idx="20">
                  <c:v>873.88692387336869</c:v>
                </c:pt>
                <c:pt idx="21">
                  <c:v>870.90568887833649</c:v>
                </c:pt>
                <c:pt idx="22">
                  <c:v>879.17666314932512</c:v>
                </c:pt>
                <c:pt idx="23">
                  <c:v>887.17458611944608</c:v>
                </c:pt>
                <c:pt idx="24">
                  <c:v>897.00956842548896</c:v>
                </c:pt>
                <c:pt idx="25">
                  <c:v>905.35585154717148</c:v>
                </c:pt>
                <c:pt idx="26">
                  <c:v>913.65186275484075</c:v>
                </c:pt>
                <c:pt idx="27">
                  <c:v>922.67201237185554</c:v>
                </c:pt>
                <c:pt idx="28">
                  <c:v>931.42525677524179</c:v>
                </c:pt>
                <c:pt idx="29">
                  <c:v>940.36861625746985</c:v>
                </c:pt>
                <c:pt idx="30">
                  <c:v>949.42486742976178</c:v>
                </c:pt>
                <c:pt idx="31">
                  <c:v>959.42039065611857</c:v>
                </c:pt>
                <c:pt idx="32">
                  <c:v>968.63894758853985</c:v>
                </c:pt>
                <c:pt idx="33">
                  <c:v>977.87503889669665</c:v>
                </c:pt>
                <c:pt idx="34">
                  <c:v>987.31316441433182</c:v>
                </c:pt>
                <c:pt idx="35">
                  <c:v>997.01960486672272</c:v>
                </c:pt>
                <c:pt idx="36">
                  <c:v>1007.8315477961107</c:v>
                </c:pt>
                <c:pt idx="37">
                  <c:v>1016.2779898447228</c:v>
                </c:pt>
                <c:pt idx="38">
                  <c:v>1024.9363100616144</c:v>
                </c:pt>
                <c:pt idx="39">
                  <c:v>1033.342468844012</c:v>
                </c:pt>
                <c:pt idx="40">
                  <c:v>1042.0013816909557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16421.697356619788</c:v>
                </c:pt>
                <c:pt idx="11">
                  <c:v>15981.038286620123</c:v>
                </c:pt>
                <c:pt idx="12">
                  <c:v>15438.393003793937</c:v>
                </c:pt>
                <c:pt idx="13">
                  <c:v>14858.814998935199</c:v>
                </c:pt>
                <c:pt idx="14">
                  <c:v>14302.856682886855</c:v>
                </c:pt>
                <c:pt idx="15">
                  <c:v>13768.818667351083</c:v>
                </c:pt>
                <c:pt idx="16">
                  <c:v>13255.074496085181</c:v>
                </c:pt>
                <c:pt idx="17">
                  <c:v>12759.986986510228</c:v>
                </c:pt>
                <c:pt idx="18">
                  <c:v>12282.074641731779</c:v>
                </c:pt>
                <c:pt idx="19">
                  <c:v>11819.91767027495</c:v>
                </c:pt>
                <c:pt idx="20">
                  <c:v>11372.15458654895</c:v>
                </c:pt>
                <c:pt idx="21">
                  <c:v>10937.47895223886</c:v>
                </c:pt>
                <c:pt idx="22">
                  <c:v>10511.999283875322</c:v>
                </c:pt>
                <c:pt idx="23">
                  <c:v>10095.218753119927</c:v>
                </c:pt>
                <c:pt idx="24">
                  <c:v>9699.0082364493792</c:v>
                </c:pt>
                <c:pt idx="25">
                  <c:v>9322.364861295262</c:v>
                </c:pt>
                <c:pt idx="26">
                  <c:v>8964.3346217334511</c:v>
                </c:pt>
                <c:pt idx="27">
                  <c:v>8623.9694322671185</c:v>
                </c:pt>
                <c:pt idx="28">
                  <c:v>8304.5450044802838</c:v>
                </c:pt>
                <c:pt idx="29">
                  <c:v>8009.1966009826183</c:v>
                </c:pt>
                <c:pt idx="30">
                  <c:v>7736.8959343300048</c:v>
                </c:pt>
                <c:pt idx="31">
                  <c:v>7486.6545957695607</c:v>
                </c:pt>
                <c:pt idx="32">
                  <c:v>7256.9771665970184</c:v>
                </c:pt>
                <c:pt idx="33">
                  <c:v>7046.9466318773348</c:v>
                </c:pt>
                <c:pt idx="34">
                  <c:v>6855.7032491090731</c:v>
                </c:pt>
                <c:pt idx="35">
                  <c:v>6682.429731031435</c:v>
                </c:pt>
                <c:pt idx="36">
                  <c:v>6526.3466816006267</c:v>
                </c:pt>
                <c:pt idx="37">
                  <c:v>6379.2008314135428</c:v>
                </c:pt>
                <c:pt idx="38">
                  <c:v>6240.4382770752891</c:v>
                </c:pt>
                <c:pt idx="39">
                  <c:v>6109.6505513530101</c:v>
                </c:pt>
                <c:pt idx="40">
                  <c:v>5986.430279508254</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817.44624520032187</c:v>
                </c:pt>
                <c:pt idx="10">
                  <c:v>805.23219117886276</c:v>
                </c:pt>
                <c:pt idx="11">
                  <c:v>875.72946041729608</c:v>
                </c:pt>
                <c:pt idx="12">
                  <c:v>839.29559152449838</c:v>
                </c:pt>
                <c:pt idx="13">
                  <c:v>843.71406346833191</c:v>
                </c:pt>
                <c:pt idx="14">
                  <c:v>848.46062558096969</c:v>
                </c:pt>
                <c:pt idx="15">
                  <c:v>852.63706377518713</c:v>
                </c:pt>
                <c:pt idx="16">
                  <c:v>856.47538565166769</c:v>
                </c:pt>
                <c:pt idx="17">
                  <c:v>860.00416423317233</c:v>
                </c:pt>
                <c:pt idx="18">
                  <c:v>864.09067270605908</c:v>
                </c:pt>
                <c:pt idx="19">
                  <c:v>869.30092544789613</c:v>
                </c:pt>
                <c:pt idx="20">
                  <c:v>873.88692387336869</c:v>
                </c:pt>
                <c:pt idx="21">
                  <c:v>870.90568887833649</c:v>
                </c:pt>
                <c:pt idx="22">
                  <c:v>879.17666314932512</c:v>
                </c:pt>
                <c:pt idx="23">
                  <c:v>887.17458611944608</c:v>
                </c:pt>
                <c:pt idx="24">
                  <c:v>897.00956842548896</c:v>
                </c:pt>
                <c:pt idx="25">
                  <c:v>905.35585154717148</c:v>
                </c:pt>
                <c:pt idx="26">
                  <c:v>913.65186275484075</c:v>
                </c:pt>
                <c:pt idx="27">
                  <c:v>922.67201237185554</c:v>
                </c:pt>
                <c:pt idx="28">
                  <c:v>931.42525677524179</c:v>
                </c:pt>
                <c:pt idx="29">
                  <c:v>940.36861625746985</c:v>
                </c:pt>
                <c:pt idx="30">
                  <c:v>949.42486742976178</c:v>
                </c:pt>
                <c:pt idx="31">
                  <c:v>959.42039065611857</c:v>
                </c:pt>
                <c:pt idx="32">
                  <c:v>968.63894758853985</c:v>
                </c:pt>
                <c:pt idx="33">
                  <c:v>977.87503889669665</c:v>
                </c:pt>
                <c:pt idx="34">
                  <c:v>987.31316441433182</c:v>
                </c:pt>
                <c:pt idx="35">
                  <c:v>997.01960486672272</c:v>
                </c:pt>
                <c:pt idx="36">
                  <c:v>1007.8315477961107</c:v>
                </c:pt>
                <c:pt idx="37">
                  <c:v>1016.2779898447228</c:v>
                </c:pt>
                <c:pt idx="38">
                  <c:v>1024.9363100616144</c:v>
                </c:pt>
                <c:pt idx="39">
                  <c:v>1033.342468844012</c:v>
                </c:pt>
                <c:pt idx="40">
                  <c:v>1042.0013816909557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60911.340429377713</c:v>
                </c:pt>
                <c:pt idx="3">
                  <c:v>55436.163761568474</c:v>
                </c:pt>
                <c:pt idx="4">
                  <c:v>44485.810425950018</c:v>
                </c:pt>
                <c:pt idx="5">
                  <c:v>40704.728491659072</c:v>
                </c:pt>
                <c:pt idx="6">
                  <c:v>38874.033737780155</c:v>
                </c:pt>
                <c:pt idx="7">
                  <c:v>37753.729073996197</c:v>
                </c:pt>
                <c:pt idx="8">
                  <c:v>36770.202530131144</c:v>
                </c:pt>
                <c:pt idx="9">
                  <c:v>34199.334153758718</c:v>
                </c:pt>
                <c:pt idx="10">
                  <c:v>32677.932392349045</c:v>
                </c:pt>
                <c:pt idx="11">
                  <c:v>31584.970912685378</c:v>
                </c:pt>
                <c:pt idx="12">
                  <c:v>29531.49146665119</c:v>
                </c:pt>
                <c:pt idx="13">
                  <c:v>27674.699335931055</c:v>
                </c:pt>
                <c:pt idx="14">
                  <c:v>26398.245679315067</c:v>
                </c:pt>
                <c:pt idx="15">
                  <c:v>26022.22605453428</c:v>
                </c:pt>
                <c:pt idx="16">
                  <c:v>25346.958244234163</c:v>
                </c:pt>
                <c:pt idx="17">
                  <c:v>24279.525002011211</c:v>
                </c:pt>
                <c:pt idx="18">
                  <c:v>20024.41519009323</c:v>
                </c:pt>
                <c:pt idx="19">
                  <c:v>14689.489568697003</c:v>
                </c:pt>
                <c:pt idx="20">
                  <c:v>13687.941669523072</c:v>
                </c:pt>
                <c:pt idx="21">
                  <c:v>13687.941669523078</c:v>
                </c:pt>
                <c:pt idx="22">
                  <c:v>13687.941669523083</c:v>
                </c:pt>
                <c:pt idx="23">
                  <c:v>13687.941669523081</c:v>
                </c:pt>
                <c:pt idx="24">
                  <c:v>13687.941669523083</c:v>
                </c:pt>
                <c:pt idx="25">
                  <c:v>13687.941669523076</c:v>
                </c:pt>
                <c:pt idx="26">
                  <c:v>13687.941669523074</c:v>
                </c:pt>
                <c:pt idx="27">
                  <c:v>13687.941669523087</c:v>
                </c:pt>
                <c:pt idx="28">
                  <c:v>13687.941669523079</c:v>
                </c:pt>
                <c:pt idx="29">
                  <c:v>13687.941669523081</c:v>
                </c:pt>
                <c:pt idx="30">
                  <c:v>13687.941669523076</c:v>
                </c:pt>
                <c:pt idx="31">
                  <c:v>13687.941669523078</c:v>
                </c:pt>
                <c:pt idx="32">
                  <c:v>13687.941669523074</c:v>
                </c:pt>
                <c:pt idx="33">
                  <c:v>13687.941669523079</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7449.3121878932852</c:v>
                </c:pt>
                <c:pt idx="2">
                  <c:v>10394.061707488836</c:v>
                </c:pt>
                <c:pt idx="3">
                  <c:v>11094.424163415901</c:v>
                </c:pt>
                <c:pt idx="4">
                  <c:v>12526.675899139518</c:v>
                </c:pt>
                <c:pt idx="5">
                  <c:v>13892.789414552248</c:v>
                </c:pt>
                <c:pt idx="6">
                  <c:v>15148.636884343905</c:v>
                </c:pt>
                <c:pt idx="7">
                  <c:v>16594.405069823497</c:v>
                </c:pt>
                <c:pt idx="8">
                  <c:v>18095.546857208428</c:v>
                </c:pt>
                <c:pt idx="9">
                  <c:v>18954.918501820048</c:v>
                </c:pt>
                <c:pt idx="10">
                  <c:v>20168.826661773055</c:v>
                </c:pt>
                <c:pt idx="11">
                  <c:v>21592.369302358646</c:v>
                </c:pt>
                <c:pt idx="12">
                  <c:v>22485.493578564485</c:v>
                </c:pt>
                <c:pt idx="13">
                  <c:v>23387.269385519867</c:v>
                </c:pt>
                <c:pt idx="14">
                  <c:v>22475.993162194154</c:v>
                </c:pt>
                <c:pt idx="15">
                  <c:v>22392.626163510547</c:v>
                </c:pt>
                <c:pt idx="16">
                  <c:v>22104.236845708667</c:v>
                </c:pt>
                <c:pt idx="17">
                  <c:v>21591.56560505191</c:v>
                </c:pt>
                <c:pt idx="18">
                  <c:v>18923.661897181821</c:v>
                </c:pt>
                <c:pt idx="19">
                  <c:v>15534.864037229972</c:v>
                </c:pt>
                <c:pt idx="20">
                  <c:v>14517.759922862664</c:v>
                </c:pt>
                <c:pt idx="21">
                  <c:v>13643.358446164657</c:v>
                </c:pt>
                <c:pt idx="22">
                  <c:v>12772.802789298486</c:v>
                </c:pt>
                <c:pt idx="23">
                  <c:v>11904.530807683859</c:v>
                </c:pt>
                <c:pt idx="24">
                  <c:v>11121.768116141986</c:v>
                </c:pt>
                <c:pt idx="25">
                  <c:v>10323.288247403594</c:v>
                </c:pt>
                <c:pt idx="26">
                  <c:v>9525.1630798827682</c:v>
                </c:pt>
                <c:pt idx="27">
                  <c:v>8731.1248431527856</c:v>
                </c:pt>
                <c:pt idx="28">
                  <c:v>7942.5143236956574</c:v>
                </c:pt>
                <c:pt idx="29">
                  <c:v>8077.1786739430172</c:v>
                </c:pt>
                <c:pt idx="30">
                  <c:v>8163.9915320576392</c:v>
                </c:pt>
                <c:pt idx="31">
                  <c:v>8255.0904534685887</c:v>
                </c:pt>
                <c:pt idx="32">
                  <c:v>8341.0884252257347</c:v>
                </c:pt>
                <c:pt idx="33">
                  <c:v>8432.1993348935939</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2572.2972467623063</c:v>
                </c:pt>
                <c:pt idx="3">
                  <c:v>2567.1213118810192</c:v>
                </c:pt>
                <c:pt idx="4">
                  <c:v>2937.7655654826231</c:v>
                </c:pt>
                <c:pt idx="5">
                  <c:v>3143.3394376331189</c:v>
                </c:pt>
                <c:pt idx="6">
                  <c:v>3193.7786150741408</c:v>
                </c:pt>
                <c:pt idx="7">
                  <c:v>3247.9631140768552</c:v>
                </c:pt>
                <c:pt idx="8">
                  <c:v>3295.6393491706608</c:v>
                </c:pt>
                <c:pt idx="9">
                  <c:v>3339.4558089478387</c:v>
                </c:pt>
                <c:pt idx="10">
                  <c:v>3379.7386694672964</c:v>
                </c:pt>
                <c:pt idx="11">
                  <c:v>3426.3883095687434</c:v>
                </c:pt>
                <c:pt idx="12">
                  <c:v>3485.8660805942818</c:v>
                </c:pt>
                <c:pt idx="13">
                  <c:v>3538.217660793739</c:v>
                </c:pt>
                <c:pt idx="14">
                  <c:v>3504.1852978367515</c:v>
                </c:pt>
                <c:pt idx="15">
                  <c:v>3598.6028123457536</c:v>
                </c:pt>
                <c:pt idx="16">
                  <c:v>3689.9033028722483</c:v>
                </c:pt>
                <c:pt idx="17">
                  <c:v>3802.1747903841533</c:v>
                </c:pt>
                <c:pt idx="18">
                  <c:v>3897.4519949695709</c:v>
                </c:pt>
                <c:pt idx="19">
                  <c:v>3992.1553192580318</c:v>
                </c:pt>
                <c:pt idx="20">
                  <c:v>4095.1250637445028</c:v>
                </c:pt>
                <c:pt idx="21">
                  <c:v>4195.0479450616976</c:v>
                </c:pt>
                <c:pt idx="22">
                  <c:v>4297.1410898359891</c:v>
                </c:pt>
                <c:pt idx="23">
                  <c:v>4400.5229525333853</c:v>
                </c:pt>
                <c:pt idx="24">
                  <c:v>4514.6270989529849</c:v>
                </c:pt>
                <c:pt idx="25">
                  <c:v>4619.8617671313086</c:v>
                </c:pt>
                <c:pt idx="26">
                  <c:v>4725.2965994162041</c:v>
                </c:pt>
                <c:pt idx="27">
                  <c:v>4833.0377582933197</c:v>
                </c:pt>
                <c:pt idx="28">
                  <c:v>4943.8418730466392</c:v>
                </c:pt>
                <c:pt idx="29">
                  <c:v>5067.2658790898813</c:v>
                </c:pt>
                <c:pt idx="30">
                  <c:v>5163.6864504210689</c:v>
                </c:pt>
                <c:pt idx="31">
                  <c:v>5262.5257223033932</c:v>
                </c:pt>
                <c:pt idx="32">
                  <c:v>5358.4864389974309</c:v>
                </c:pt>
                <c:pt idx="33">
                  <c:v>5457.3324760629976</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16127.973529920817</c:v>
                </c:pt>
                <c:pt idx="3">
                  <c:v>15092.075065303088</c:v>
                </c:pt>
                <c:pt idx="4">
                  <c:v>15557.401989929876</c:v>
                </c:pt>
                <c:pt idx="5">
                  <c:v>15924.925580885418</c:v>
                </c:pt>
                <c:pt idx="6">
                  <c:v>16260.809419085223</c:v>
                </c:pt>
                <c:pt idx="7">
                  <c:v>16621.634048258569</c:v>
                </c:pt>
                <c:pt idx="8">
                  <c:v>16939.118940888875</c:v>
                </c:pt>
                <c:pt idx="9">
                  <c:v>17230.900873762275</c:v>
                </c:pt>
                <c:pt idx="10">
                  <c:v>17499.151913755224</c:v>
                </c:pt>
                <c:pt idx="11">
                  <c:v>17809.800519915287</c:v>
                </c:pt>
                <c:pt idx="12">
                  <c:v>18205.874029301649</c:v>
                </c:pt>
                <c:pt idx="13">
                  <c:v>18554.49291218846</c:v>
                </c:pt>
                <c:pt idx="14">
                  <c:v>18327.865094826295</c:v>
                </c:pt>
                <c:pt idx="15">
                  <c:v>18956.608836804473</c:v>
                </c:pt>
                <c:pt idx="16">
                  <c:v>19564.595737927553</c:v>
                </c:pt>
                <c:pt idx="17">
                  <c:v>20312.232397744108</c:v>
                </c:pt>
                <c:pt idx="18">
                  <c:v>20946.70097539921</c:v>
                </c:pt>
                <c:pt idx="19">
                  <c:v>21577.347977711717</c:v>
                </c:pt>
                <c:pt idx="20">
                  <c:v>22263.042605404848</c:v>
                </c:pt>
                <c:pt idx="21">
                  <c:v>22928.447606111837</c:v>
                </c:pt>
                <c:pt idx="22">
                  <c:v>23608.304793727042</c:v>
                </c:pt>
                <c:pt idx="23">
                  <c:v>24296.743793027723</c:v>
                </c:pt>
                <c:pt idx="24">
                  <c:v>25056.584468438061</c:v>
                </c:pt>
                <c:pt idx="25">
                  <c:v>25757.361643100532</c:v>
                </c:pt>
                <c:pt idx="26">
                  <c:v>26459.471747675743</c:v>
                </c:pt>
                <c:pt idx="27">
                  <c:v>27176.940108813385</c:v>
                </c:pt>
                <c:pt idx="28">
                  <c:v>27914.805261257523</c:v>
                </c:pt>
                <c:pt idx="29">
                  <c:v>28736.70861057908</c:v>
                </c:pt>
                <c:pt idx="30">
                  <c:v>29378.791079469585</c:v>
                </c:pt>
                <c:pt idx="31">
                  <c:v>30036.980123958427</c:v>
                </c:pt>
                <c:pt idx="32">
                  <c:v>30676.000335524837</c:v>
                </c:pt>
                <c:pt idx="33">
                  <c:v>31334.234430623717</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60911.340429377713</c:v>
                </c:pt>
                <c:pt idx="3">
                  <c:v>55436.163761568474</c:v>
                </c:pt>
                <c:pt idx="4">
                  <c:v>44485.810425950018</c:v>
                </c:pt>
                <c:pt idx="5">
                  <c:v>40704.728491659072</c:v>
                </c:pt>
                <c:pt idx="6">
                  <c:v>38874.033737780155</c:v>
                </c:pt>
                <c:pt idx="7">
                  <c:v>37753.729073996197</c:v>
                </c:pt>
                <c:pt idx="8">
                  <c:v>36770.202530131144</c:v>
                </c:pt>
                <c:pt idx="9">
                  <c:v>34199.334153758718</c:v>
                </c:pt>
                <c:pt idx="10">
                  <c:v>32677.932392349045</c:v>
                </c:pt>
                <c:pt idx="11">
                  <c:v>31584.970912685378</c:v>
                </c:pt>
                <c:pt idx="12">
                  <c:v>29531.49146665119</c:v>
                </c:pt>
                <c:pt idx="13">
                  <c:v>27674.699335931055</c:v>
                </c:pt>
                <c:pt idx="14">
                  <c:v>26398.245679315067</c:v>
                </c:pt>
                <c:pt idx="15">
                  <c:v>26022.22605453428</c:v>
                </c:pt>
                <c:pt idx="16">
                  <c:v>25346.958244234163</c:v>
                </c:pt>
                <c:pt idx="17">
                  <c:v>24279.525002011211</c:v>
                </c:pt>
                <c:pt idx="18">
                  <c:v>20024.41519009323</c:v>
                </c:pt>
                <c:pt idx="19">
                  <c:v>14689.489568697003</c:v>
                </c:pt>
                <c:pt idx="20">
                  <c:v>13687.941669523072</c:v>
                </c:pt>
                <c:pt idx="21">
                  <c:v>13687.941669523078</c:v>
                </c:pt>
                <c:pt idx="22">
                  <c:v>13687.941669523083</c:v>
                </c:pt>
                <c:pt idx="23">
                  <c:v>13687.941669523081</c:v>
                </c:pt>
                <c:pt idx="24">
                  <c:v>13687.941669523083</c:v>
                </c:pt>
                <c:pt idx="25">
                  <c:v>13687.941669523076</c:v>
                </c:pt>
                <c:pt idx="26">
                  <c:v>13687.941669523074</c:v>
                </c:pt>
                <c:pt idx="27">
                  <c:v>13687.941669523087</c:v>
                </c:pt>
                <c:pt idx="28">
                  <c:v>13687.941669523079</c:v>
                </c:pt>
                <c:pt idx="29">
                  <c:v>13687.941669523081</c:v>
                </c:pt>
                <c:pt idx="30">
                  <c:v>13687.941669523076</c:v>
                </c:pt>
                <c:pt idx="31">
                  <c:v>13687.941669523078</c:v>
                </c:pt>
                <c:pt idx="32">
                  <c:v>13687.941669523074</c:v>
                </c:pt>
                <c:pt idx="33">
                  <c:v>13687.941669523079</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7449.3121878932852</c:v>
                </c:pt>
                <c:pt idx="2">
                  <c:v>10394.061707488836</c:v>
                </c:pt>
                <c:pt idx="3">
                  <c:v>11094.424163415901</c:v>
                </c:pt>
                <c:pt idx="4">
                  <c:v>12526.675899139518</c:v>
                </c:pt>
                <c:pt idx="5">
                  <c:v>13892.789414552248</c:v>
                </c:pt>
                <c:pt idx="6">
                  <c:v>15148.636884343905</c:v>
                </c:pt>
                <c:pt idx="7">
                  <c:v>16594.405069823497</c:v>
                </c:pt>
                <c:pt idx="8">
                  <c:v>18095.546857208428</c:v>
                </c:pt>
                <c:pt idx="9">
                  <c:v>18954.918501820048</c:v>
                </c:pt>
                <c:pt idx="10">
                  <c:v>20168.826661773055</c:v>
                </c:pt>
                <c:pt idx="11">
                  <c:v>21592.369302358646</c:v>
                </c:pt>
                <c:pt idx="12">
                  <c:v>22485.493578564485</c:v>
                </c:pt>
                <c:pt idx="13">
                  <c:v>23387.269385519867</c:v>
                </c:pt>
                <c:pt idx="14">
                  <c:v>22475.993162194154</c:v>
                </c:pt>
                <c:pt idx="15">
                  <c:v>22392.626163510547</c:v>
                </c:pt>
                <c:pt idx="16">
                  <c:v>22104.236845708667</c:v>
                </c:pt>
                <c:pt idx="17">
                  <c:v>21591.56560505191</c:v>
                </c:pt>
                <c:pt idx="18">
                  <c:v>18923.661897181821</c:v>
                </c:pt>
                <c:pt idx="19">
                  <c:v>15534.864037229972</c:v>
                </c:pt>
                <c:pt idx="20">
                  <c:v>14517.759922862664</c:v>
                </c:pt>
                <c:pt idx="21">
                  <c:v>13643.358446164657</c:v>
                </c:pt>
                <c:pt idx="22">
                  <c:v>12772.802789298486</c:v>
                </c:pt>
                <c:pt idx="23">
                  <c:v>11904.530807683859</c:v>
                </c:pt>
                <c:pt idx="24">
                  <c:v>11121.768116141986</c:v>
                </c:pt>
                <c:pt idx="25">
                  <c:v>10323.288247403594</c:v>
                </c:pt>
                <c:pt idx="26">
                  <c:v>9525.1630798827682</c:v>
                </c:pt>
                <c:pt idx="27">
                  <c:v>8731.1248431527856</c:v>
                </c:pt>
                <c:pt idx="28">
                  <c:v>7942.5143236956574</c:v>
                </c:pt>
                <c:pt idx="29">
                  <c:v>8077.1786739430172</c:v>
                </c:pt>
                <c:pt idx="30">
                  <c:v>8163.9915320576392</c:v>
                </c:pt>
                <c:pt idx="31">
                  <c:v>8255.0904534685887</c:v>
                </c:pt>
                <c:pt idx="32">
                  <c:v>8341.0884252257347</c:v>
                </c:pt>
                <c:pt idx="33">
                  <c:v>8432.1993348935939</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2572.2972467623063</c:v>
                </c:pt>
                <c:pt idx="3">
                  <c:v>2567.1213118810192</c:v>
                </c:pt>
                <c:pt idx="4">
                  <c:v>2937.7655654826231</c:v>
                </c:pt>
                <c:pt idx="5">
                  <c:v>3143.3394376331189</c:v>
                </c:pt>
                <c:pt idx="6">
                  <c:v>3193.7786150741408</c:v>
                </c:pt>
                <c:pt idx="7">
                  <c:v>3247.9631140768552</c:v>
                </c:pt>
                <c:pt idx="8">
                  <c:v>3295.6393491706608</c:v>
                </c:pt>
                <c:pt idx="9">
                  <c:v>3339.4558089478387</c:v>
                </c:pt>
                <c:pt idx="10">
                  <c:v>3379.7386694672964</c:v>
                </c:pt>
                <c:pt idx="11">
                  <c:v>3426.3883095687434</c:v>
                </c:pt>
                <c:pt idx="12">
                  <c:v>3485.8660805942818</c:v>
                </c:pt>
                <c:pt idx="13">
                  <c:v>3538.217660793739</c:v>
                </c:pt>
                <c:pt idx="14">
                  <c:v>3504.1852978367515</c:v>
                </c:pt>
                <c:pt idx="15">
                  <c:v>3598.6028123457536</c:v>
                </c:pt>
                <c:pt idx="16">
                  <c:v>3689.9033028722483</c:v>
                </c:pt>
                <c:pt idx="17">
                  <c:v>3802.1747903841533</c:v>
                </c:pt>
                <c:pt idx="18">
                  <c:v>3897.4519949695709</c:v>
                </c:pt>
                <c:pt idx="19">
                  <c:v>3992.1553192580318</c:v>
                </c:pt>
                <c:pt idx="20">
                  <c:v>4095.1250637445028</c:v>
                </c:pt>
                <c:pt idx="21">
                  <c:v>4195.0479450616976</c:v>
                </c:pt>
                <c:pt idx="22">
                  <c:v>4297.1410898359891</c:v>
                </c:pt>
                <c:pt idx="23">
                  <c:v>4400.5229525333853</c:v>
                </c:pt>
                <c:pt idx="24">
                  <c:v>4514.6270989529849</c:v>
                </c:pt>
                <c:pt idx="25">
                  <c:v>4619.8617671313086</c:v>
                </c:pt>
                <c:pt idx="26">
                  <c:v>4725.2965994162041</c:v>
                </c:pt>
                <c:pt idx="27">
                  <c:v>4833.0377582933197</c:v>
                </c:pt>
                <c:pt idx="28">
                  <c:v>4943.8418730466392</c:v>
                </c:pt>
                <c:pt idx="29">
                  <c:v>5067.2658790898813</c:v>
                </c:pt>
                <c:pt idx="30">
                  <c:v>5163.6864504210689</c:v>
                </c:pt>
                <c:pt idx="31">
                  <c:v>5262.5257223033932</c:v>
                </c:pt>
                <c:pt idx="32">
                  <c:v>5358.4864389974309</c:v>
                </c:pt>
                <c:pt idx="33">
                  <c:v>5457.3324760629976</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16127.973529920817</c:v>
                </c:pt>
                <c:pt idx="3">
                  <c:v>15092.075065303088</c:v>
                </c:pt>
                <c:pt idx="4">
                  <c:v>15557.401989929876</c:v>
                </c:pt>
                <c:pt idx="5">
                  <c:v>15924.925580885418</c:v>
                </c:pt>
                <c:pt idx="6">
                  <c:v>16260.809419085223</c:v>
                </c:pt>
                <c:pt idx="7">
                  <c:v>16621.634048258569</c:v>
                </c:pt>
                <c:pt idx="8">
                  <c:v>16939.118940888875</c:v>
                </c:pt>
                <c:pt idx="9">
                  <c:v>17230.900873762275</c:v>
                </c:pt>
                <c:pt idx="10">
                  <c:v>17499.151913755224</c:v>
                </c:pt>
                <c:pt idx="11">
                  <c:v>17809.800519915287</c:v>
                </c:pt>
                <c:pt idx="12">
                  <c:v>18205.874029301649</c:v>
                </c:pt>
                <c:pt idx="13">
                  <c:v>18554.49291218846</c:v>
                </c:pt>
                <c:pt idx="14">
                  <c:v>18327.865094826295</c:v>
                </c:pt>
                <c:pt idx="15">
                  <c:v>18956.608836804473</c:v>
                </c:pt>
                <c:pt idx="16">
                  <c:v>19564.595737927553</c:v>
                </c:pt>
                <c:pt idx="17">
                  <c:v>20312.232397744108</c:v>
                </c:pt>
                <c:pt idx="18">
                  <c:v>20946.70097539921</c:v>
                </c:pt>
                <c:pt idx="19">
                  <c:v>21577.347977711717</c:v>
                </c:pt>
                <c:pt idx="20">
                  <c:v>22263.042605404848</c:v>
                </c:pt>
                <c:pt idx="21">
                  <c:v>22928.447606111837</c:v>
                </c:pt>
                <c:pt idx="22">
                  <c:v>23608.304793727042</c:v>
                </c:pt>
                <c:pt idx="23">
                  <c:v>24296.743793027723</c:v>
                </c:pt>
                <c:pt idx="24">
                  <c:v>25056.584468438061</c:v>
                </c:pt>
                <c:pt idx="25">
                  <c:v>25757.361643100532</c:v>
                </c:pt>
                <c:pt idx="26">
                  <c:v>26459.471747675743</c:v>
                </c:pt>
                <c:pt idx="27">
                  <c:v>27176.940108813385</c:v>
                </c:pt>
                <c:pt idx="28">
                  <c:v>27914.805261257523</c:v>
                </c:pt>
                <c:pt idx="29">
                  <c:v>28736.70861057908</c:v>
                </c:pt>
                <c:pt idx="30">
                  <c:v>29378.791079469585</c:v>
                </c:pt>
                <c:pt idx="31">
                  <c:v>30036.980123958427</c:v>
                </c:pt>
                <c:pt idx="32">
                  <c:v>30676.000335524837</c:v>
                </c:pt>
                <c:pt idx="33">
                  <c:v>31334.234430623717</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40847.077045047248</c:v>
                </c:pt>
                <c:pt idx="11">
                  <c:v>40356.847721668732</c:v>
                </c:pt>
                <c:pt idx="12">
                  <c:v>38555.479214800216</c:v>
                </c:pt>
                <c:pt idx="13">
                  <c:v>36899.599114574747</c:v>
                </c:pt>
                <c:pt idx="14">
                  <c:v>35197.66090575343</c:v>
                </c:pt>
                <c:pt idx="15">
                  <c:v>34696.301406045706</c:v>
                </c:pt>
                <c:pt idx="16">
                  <c:v>33795.944325645556</c:v>
                </c:pt>
                <c:pt idx="17">
                  <c:v>32372.700002681617</c:v>
                </c:pt>
                <c:pt idx="18">
                  <c:v>28630.38410105016</c:v>
                </c:pt>
                <c:pt idx="19">
                  <c:v>27627.206795850383</c:v>
                </c:pt>
                <c:pt idx="20">
                  <c:v>26659.179724825452</c:v>
                </c:pt>
                <c:pt idx="21">
                  <c:v>25725.071262263602</c:v>
                </c:pt>
                <c:pt idx="22">
                  <c:v>24823.692937269239</c:v>
                </c:pt>
                <c:pt idx="23">
                  <c:v>23953.897921665382</c:v>
                </c:pt>
                <c:pt idx="24">
                  <c:v>22650.218174049241</c:v>
                </c:pt>
                <c:pt idx="25">
                  <c:v>21417.490590039306</c:v>
                </c:pt>
                <c:pt idx="26">
                  <c:v>20251.853631148373</c:v>
                </c:pt>
                <c:pt idx="27">
                  <c:v>19149.655921324487</c:v>
                </c:pt>
                <c:pt idx="28">
                  <c:v>18107.444808958157</c:v>
                </c:pt>
                <c:pt idx="29">
                  <c:v>17121.955551397084</c:v>
                </c:pt>
                <c:pt idx="30">
                  <c:v>16190.101088088579</c:v>
                </c:pt>
                <c:pt idx="31">
                  <c:v>15308.962370313993</c:v>
                </c:pt>
                <c:pt idx="32">
                  <c:v>14475.779217222869</c:v>
                </c:pt>
                <c:pt idx="33">
                  <c:v>13687.941669523081</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6432.32104401378</c:v>
                </c:pt>
                <c:pt idx="2">
                  <c:v>8254.5618926398001</c:v>
                </c:pt>
                <c:pt idx="3">
                  <c:v>8110.6558377935944</c:v>
                </c:pt>
                <c:pt idx="4">
                  <c:v>8617.0590421503857</c:v>
                </c:pt>
                <c:pt idx="5">
                  <c:v>9114.6836951990845</c:v>
                </c:pt>
                <c:pt idx="6">
                  <c:v>9596.4113590845809</c:v>
                </c:pt>
                <c:pt idx="7">
                  <c:v>10219.072142297562</c:v>
                </c:pt>
                <c:pt idx="8">
                  <c:v>10908.591054421357</c:v>
                </c:pt>
                <c:pt idx="9">
                  <c:v>11344.631275713871</c:v>
                </c:pt>
                <c:pt idx="10">
                  <c:v>11999.682009074852</c:v>
                </c:pt>
                <c:pt idx="11">
                  <c:v>12820.492493375294</c:v>
                </c:pt>
                <c:pt idx="12">
                  <c:v>13461.505830415459</c:v>
                </c:pt>
                <c:pt idx="13">
                  <c:v>14162.36960687618</c:v>
                </c:pt>
                <c:pt idx="14">
                  <c:v>13676.577935755797</c:v>
                </c:pt>
                <c:pt idx="15">
                  <c:v>13718.550811999121</c:v>
                </c:pt>
                <c:pt idx="16">
                  <c:v>13655.250764297278</c:v>
                </c:pt>
                <c:pt idx="17">
                  <c:v>13498.390604381504</c:v>
                </c:pt>
                <c:pt idx="18">
                  <c:v>12248.856833817412</c:v>
                </c:pt>
                <c:pt idx="19">
                  <c:v>10638.36751433097</c:v>
                </c:pt>
                <c:pt idx="20">
                  <c:v>10221.049331110855</c:v>
                </c:pt>
                <c:pt idx="21">
                  <c:v>9872.3828666461995</c:v>
                </c:pt>
                <c:pt idx="22">
                  <c:v>9527.5622220133791</c:v>
                </c:pt>
                <c:pt idx="23">
                  <c:v>9185.0252526321055</c:v>
                </c:pt>
                <c:pt idx="24">
                  <c:v>8894.7431507709243</c:v>
                </c:pt>
                <c:pt idx="25">
                  <c:v>8588.7438717132245</c:v>
                </c:pt>
                <c:pt idx="26">
                  <c:v>8283.0992938730942</c:v>
                </c:pt>
                <c:pt idx="27">
                  <c:v>7981.5416468238018</c:v>
                </c:pt>
                <c:pt idx="28">
                  <c:v>7685.4117170473683</c:v>
                </c:pt>
                <c:pt idx="29">
                  <c:v>7862.100774307467</c:v>
                </c:pt>
                <c:pt idx="30">
                  <c:v>7990.9383394348279</c:v>
                </c:pt>
                <c:pt idx="31">
                  <c:v>8124.0619678585172</c:v>
                </c:pt>
                <c:pt idx="32">
                  <c:v>8252.084646628402</c:v>
                </c:pt>
                <c:pt idx="33">
                  <c:v>8385.2202633090001</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2572.2972467623063</c:v>
                </c:pt>
                <c:pt idx="3">
                  <c:v>2491.9296118810189</c:v>
                </c:pt>
                <c:pt idx="4">
                  <c:v>2636.9987654826227</c:v>
                </c:pt>
                <c:pt idx="5">
                  <c:v>2767.3809376331187</c:v>
                </c:pt>
                <c:pt idx="6">
                  <c:v>2893.0118150741405</c:v>
                </c:pt>
                <c:pt idx="7">
                  <c:v>3022.3880140768551</c:v>
                </c:pt>
                <c:pt idx="8">
                  <c:v>3145.2559491706606</c:v>
                </c:pt>
                <c:pt idx="9">
                  <c:v>3264.2641089478384</c:v>
                </c:pt>
                <c:pt idx="10">
                  <c:v>3379.7386694672964</c:v>
                </c:pt>
                <c:pt idx="11">
                  <c:v>3426.3883095687434</c:v>
                </c:pt>
                <c:pt idx="12">
                  <c:v>3485.8660805942818</c:v>
                </c:pt>
                <c:pt idx="13">
                  <c:v>3538.217660793739</c:v>
                </c:pt>
                <c:pt idx="14">
                  <c:v>3504.1852978367515</c:v>
                </c:pt>
                <c:pt idx="15">
                  <c:v>3598.6028123457536</c:v>
                </c:pt>
                <c:pt idx="16">
                  <c:v>3689.9033028722483</c:v>
                </c:pt>
                <c:pt idx="17">
                  <c:v>3802.1747903841533</c:v>
                </c:pt>
                <c:pt idx="18">
                  <c:v>3897.4519949695709</c:v>
                </c:pt>
                <c:pt idx="19">
                  <c:v>3992.1553192580318</c:v>
                </c:pt>
                <c:pt idx="20">
                  <c:v>4095.1250637445028</c:v>
                </c:pt>
                <c:pt idx="21">
                  <c:v>4195.0479450616976</c:v>
                </c:pt>
                <c:pt idx="22">
                  <c:v>4297.1410898359891</c:v>
                </c:pt>
                <c:pt idx="23">
                  <c:v>4400.5229525333853</c:v>
                </c:pt>
                <c:pt idx="24">
                  <c:v>4514.6270989529849</c:v>
                </c:pt>
                <c:pt idx="25">
                  <c:v>4619.8617671313086</c:v>
                </c:pt>
                <c:pt idx="26">
                  <c:v>4725.2965994162041</c:v>
                </c:pt>
                <c:pt idx="27">
                  <c:v>4833.0377582933197</c:v>
                </c:pt>
                <c:pt idx="28">
                  <c:v>4943.8418730466392</c:v>
                </c:pt>
                <c:pt idx="29">
                  <c:v>5067.2658790898813</c:v>
                </c:pt>
                <c:pt idx="30">
                  <c:v>5163.6864504210689</c:v>
                </c:pt>
                <c:pt idx="31">
                  <c:v>5262.5257223033932</c:v>
                </c:pt>
                <c:pt idx="32">
                  <c:v>5358.4864389974309</c:v>
                </c:pt>
                <c:pt idx="33">
                  <c:v>5457.3324760629976</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16127.973529920817</c:v>
                </c:pt>
                <c:pt idx="3">
                  <c:v>15092.075065303088</c:v>
                </c:pt>
                <c:pt idx="4">
                  <c:v>15557.401989929876</c:v>
                </c:pt>
                <c:pt idx="5">
                  <c:v>15924.925580885418</c:v>
                </c:pt>
                <c:pt idx="6">
                  <c:v>16260.809419085223</c:v>
                </c:pt>
                <c:pt idx="7">
                  <c:v>16621.634048258569</c:v>
                </c:pt>
                <c:pt idx="8">
                  <c:v>16939.118940888875</c:v>
                </c:pt>
                <c:pt idx="9">
                  <c:v>17230.900873762275</c:v>
                </c:pt>
                <c:pt idx="10">
                  <c:v>17499.151913755224</c:v>
                </c:pt>
                <c:pt idx="11">
                  <c:v>17809.800519915287</c:v>
                </c:pt>
                <c:pt idx="12">
                  <c:v>18205.874029301649</c:v>
                </c:pt>
                <c:pt idx="13">
                  <c:v>18554.49291218846</c:v>
                </c:pt>
                <c:pt idx="14">
                  <c:v>18327.865094826295</c:v>
                </c:pt>
                <c:pt idx="15">
                  <c:v>18956.608836804473</c:v>
                </c:pt>
                <c:pt idx="16">
                  <c:v>19564.595737927553</c:v>
                </c:pt>
                <c:pt idx="17">
                  <c:v>20312.232397744108</c:v>
                </c:pt>
                <c:pt idx="18">
                  <c:v>20946.70097539921</c:v>
                </c:pt>
                <c:pt idx="19">
                  <c:v>21577.347977711717</c:v>
                </c:pt>
                <c:pt idx="20">
                  <c:v>22263.042605404848</c:v>
                </c:pt>
                <c:pt idx="21">
                  <c:v>22928.447606111837</c:v>
                </c:pt>
                <c:pt idx="22">
                  <c:v>23608.304793727042</c:v>
                </c:pt>
                <c:pt idx="23">
                  <c:v>24296.743793027723</c:v>
                </c:pt>
                <c:pt idx="24">
                  <c:v>25056.584468438061</c:v>
                </c:pt>
                <c:pt idx="25">
                  <c:v>25757.361643100532</c:v>
                </c:pt>
                <c:pt idx="26">
                  <c:v>26459.471747675743</c:v>
                </c:pt>
                <c:pt idx="27">
                  <c:v>27176.940108813385</c:v>
                </c:pt>
                <c:pt idx="28">
                  <c:v>27914.805261257523</c:v>
                </c:pt>
                <c:pt idx="29">
                  <c:v>28736.70861057908</c:v>
                </c:pt>
                <c:pt idx="30">
                  <c:v>29378.791079469585</c:v>
                </c:pt>
                <c:pt idx="31">
                  <c:v>30036.980123958427</c:v>
                </c:pt>
                <c:pt idx="32">
                  <c:v>30676.000335524837</c:v>
                </c:pt>
                <c:pt idx="33">
                  <c:v>31334.234430623717</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40847.077045047248</c:v>
                </c:pt>
                <c:pt idx="11">
                  <c:v>40356.847721668732</c:v>
                </c:pt>
                <c:pt idx="12">
                  <c:v>38555.479214800216</c:v>
                </c:pt>
                <c:pt idx="13">
                  <c:v>36899.599114574747</c:v>
                </c:pt>
                <c:pt idx="14">
                  <c:v>35197.66090575343</c:v>
                </c:pt>
                <c:pt idx="15">
                  <c:v>34696.301406045706</c:v>
                </c:pt>
                <c:pt idx="16">
                  <c:v>33795.944325645556</c:v>
                </c:pt>
                <c:pt idx="17">
                  <c:v>32372.700002681617</c:v>
                </c:pt>
                <c:pt idx="18">
                  <c:v>28630.38410105016</c:v>
                </c:pt>
                <c:pt idx="19">
                  <c:v>27627.206795850383</c:v>
                </c:pt>
                <c:pt idx="20">
                  <c:v>26659.179724825452</c:v>
                </c:pt>
                <c:pt idx="21">
                  <c:v>25725.071262263602</c:v>
                </c:pt>
                <c:pt idx="22">
                  <c:v>24823.692937269239</c:v>
                </c:pt>
                <c:pt idx="23">
                  <c:v>23953.897921665382</c:v>
                </c:pt>
                <c:pt idx="24">
                  <c:v>22650.218174049241</c:v>
                </c:pt>
                <c:pt idx="25">
                  <c:v>21417.490590039306</c:v>
                </c:pt>
                <c:pt idx="26">
                  <c:v>20251.853631148373</c:v>
                </c:pt>
                <c:pt idx="27">
                  <c:v>19149.655921324487</c:v>
                </c:pt>
                <c:pt idx="28">
                  <c:v>18107.444808958157</c:v>
                </c:pt>
                <c:pt idx="29">
                  <c:v>17121.955551397084</c:v>
                </c:pt>
                <c:pt idx="30">
                  <c:v>16190.101088088579</c:v>
                </c:pt>
                <c:pt idx="31">
                  <c:v>15308.962370313993</c:v>
                </c:pt>
                <c:pt idx="32">
                  <c:v>14475.779217222869</c:v>
                </c:pt>
                <c:pt idx="33">
                  <c:v>13687.941669523081</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6432.32104401378</c:v>
                </c:pt>
                <c:pt idx="2">
                  <c:v>8254.5618926398001</c:v>
                </c:pt>
                <c:pt idx="3">
                  <c:v>8110.6558377935944</c:v>
                </c:pt>
                <c:pt idx="4">
                  <c:v>8617.0590421503857</c:v>
                </c:pt>
                <c:pt idx="5">
                  <c:v>9114.6836951990845</c:v>
                </c:pt>
                <c:pt idx="6">
                  <c:v>9596.4113590845809</c:v>
                </c:pt>
                <c:pt idx="7">
                  <c:v>10219.072142297562</c:v>
                </c:pt>
                <c:pt idx="8">
                  <c:v>10908.591054421357</c:v>
                </c:pt>
                <c:pt idx="9">
                  <c:v>11344.631275713871</c:v>
                </c:pt>
                <c:pt idx="10">
                  <c:v>11999.682009074852</c:v>
                </c:pt>
                <c:pt idx="11">
                  <c:v>12820.492493375294</c:v>
                </c:pt>
                <c:pt idx="12">
                  <c:v>13461.505830415459</c:v>
                </c:pt>
                <c:pt idx="13">
                  <c:v>14162.36960687618</c:v>
                </c:pt>
                <c:pt idx="14">
                  <c:v>13676.577935755797</c:v>
                </c:pt>
                <c:pt idx="15">
                  <c:v>13718.550811999121</c:v>
                </c:pt>
                <c:pt idx="16">
                  <c:v>13655.250764297278</c:v>
                </c:pt>
                <c:pt idx="17">
                  <c:v>13498.390604381504</c:v>
                </c:pt>
                <c:pt idx="18">
                  <c:v>12248.856833817412</c:v>
                </c:pt>
                <c:pt idx="19">
                  <c:v>10638.36751433097</c:v>
                </c:pt>
                <c:pt idx="20">
                  <c:v>10221.049331110855</c:v>
                </c:pt>
                <c:pt idx="21">
                  <c:v>9872.3828666461995</c:v>
                </c:pt>
                <c:pt idx="22">
                  <c:v>9527.5622220133791</c:v>
                </c:pt>
                <c:pt idx="23">
                  <c:v>9185.0252526321055</c:v>
                </c:pt>
                <c:pt idx="24">
                  <c:v>8894.7431507709243</c:v>
                </c:pt>
                <c:pt idx="25">
                  <c:v>8588.7438717132245</c:v>
                </c:pt>
                <c:pt idx="26">
                  <c:v>8283.0992938730942</c:v>
                </c:pt>
                <c:pt idx="27">
                  <c:v>7981.5416468238018</c:v>
                </c:pt>
                <c:pt idx="28">
                  <c:v>7685.4117170473683</c:v>
                </c:pt>
                <c:pt idx="29">
                  <c:v>7862.100774307467</c:v>
                </c:pt>
                <c:pt idx="30">
                  <c:v>7990.9383394348279</c:v>
                </c:pt>
                <c:pt idx="31">
                  <c:v>8124.0619678585172</c:v>
                </c:pt>
                <c:pt idx="32">
                  <c:v>8252.084646628402</c:v>
                </c:pt>
                <c:pt idx="33">
                  <c:v>8385.2202633090001</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2572.2972467623063</c:v>
                </c:pt>
                <c:pt idx="3">
                  <c:v>2491.9296118810189</c:v>
                </c:pt>
                <c:pt idx="4">
                  <c:v>2636.9987654826227</c:v>
                </c:pt>
                <c:pt idx="5">
                  <c:v>2767.3809376331187</c:v>
                </c:pt>
                <c:pt idx="6">
                  <c:v>2893.0118150741405</c:v>
                </c:pt>
                <c:pt idx="7">
                  <c:v>3022.3880140768551</c:v>
                </c:pt>
                <c:pt idx="8">
                  <c:v>3145.2559491706606</c:v>
                </c:pt>
                <c:pt idx="9">
                  <c:v>3264.2641089478384</c:v>
                </c:pt>
                <c:pt idx="10">
                  <c:v>3379.7386694672964</c:v>
                </c:pt>
                <c:pt idx="11">
                  <c:v>3426.3883095687434</c:v>
                </c:pt>
                <c:pt idx="12">
                  <c:v>3485.8660805942818</c:v>
                </c:pt>
                <c:pt idx="13">
                  <c:v>3538.217660793739</c:v>
                </c:pt>
                <c:pt idx="14">
                  <c:v>3504.1852978367515</c:v>
                </c:pt>
                <c:pt idx="15">
                  <c:v>3598.6028123457536</c:v>
                </c:pt>
                <c:pt idx="16">
                  <c:v>3689.9033028722483</c:v>
                </c:pt>
                <c:pt idx="17">
                  <c:v>3802.1747903841533</c:v>
                </c:pt>
                <c:pt idx="18">
                  <c:v>3897.4519949695709</c:v>
                </c:pt>
                <c:pt idx="19">
                  <c:v>3992.1553192580318</c:v>
                </c:pt>
                <c:pt idx="20">
                  <c:v>4095.1250637445028</c:v>
                </c:pt>
                <c:pt idx="21">
                  <c:v>4195.0479450616976</c:v>
                </c:pt>
                <c:pt idx="22">
                  <c:v>4297.1410898359891</c:v>
                </c:pt>
                <c:pt idx="23">
                  <c:v>4400.5229525333853</c:v>
                </c:pt>
                <c:pt idx="24">
                  <c:v>4514.6270989529849</c:v>
                </c:pt>
                <c:pt idx="25">
                  <c:v>4619.8617671313086</c:v>
                </c:pt>
                <c:pt idx="26">
                  <c:v>4725.2965994162041</c:v>
                </c:pt>
                <c:pt idx="27">
                  <c:v>4833.0377582933197</c:v>
                </c:pt>
                <c:pt idx="28">
                  <c:v>4943.8418730466392</c:v>
                </c:pt>
                <c:pt idx="29">
                  <c:v>5067.2658790898813</c:v>
                </c:pt>
                <c:pt idx="30">
                  <c:v>5163.6864504210689</c:v>
                </c:pt>
                <c:pt idx="31">
                  <c:v>5262.5257223033932</c:v>
                </c:pt>
                <c:pt idx="32">
                  <c:v>5358.4864389974309</c:v>
                </c:pt>
                <c:pt idx="33">
                  <c:v>5457.3324760629976</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16127.973529920817</c:v>
                </c:pt>
                <c:pt idx="3">
                  <c:v>15092.075065303088</c:v>
                </c:pt>
                <c:pt idx="4">
                  <c:v>15557.401989929876</c:v>
                </c:pt>
                <c:pt idx="5">
                  <c:v>15924.925580885418</c:v>
                </c:pt>
                <c:pt idx="6">
                  <c:v>16260.809419085223</c:v>
                </c:pt>
                <c:pt idx="7">
                  <c:v>16621.634048258569</c:v>
                </c:pt>
                <c:pt idx="8">
                  <c:v>16939.118940888875</c:v>
                </c:pt>
                <c:pt idx="9">
                  <c:v>17230.900873762275</c:v>
                </c:pt>
                <c:pt idx="10">
                  <c:v>17499.151913755224</c:v>
                </c:pt>
                <c:pt idx="11">
                  <c:v>17809.800519915287</c:v>
                </c:pt>
                <c:pt idx="12">
                  <c:v>18205.874029301649</c:v>
                </c:pt>
                <c:pt idx="13">
                  <c:v>18554.49291218846</c:v>
                </c:pt>
                <c:pt idx="14">
                  <c:v>18327.865094826295</c:v>
                </c:pt>
                <c:pt idx="15">
                  <c:v>18956.608836804473</c:v>
                </c:pt>
                <c:pt idx="16">
                  <c:v>19564.595737927553</c:v>
                </c:pt>
                <c:pt idx="17">
                  <c:v>20312.232397744108</c:v>
                </c:pt>
                <c:pt idx="18">
                  <c:v>20946.70097539921</c:v>
                </c:pt>
                <c:pt idx="19">
                  <c:v>21577.347977711717</c:v>
                </c:pt>
                <c:pt idx="20">
                  <c:v>22263.042605404848</c:v>
                </c:pt>
                <c:pt idx="21">
                  <c:v>22928.447606111837</c:v>
                </c:pt>
                <c:pt idx="22">
                  <c:v>23608.304793727042</c:v>
                </c:pt>
                <c:pt idx="23">
                  <c:v>24296.743793027723</c:v>
                </c:pt>
                <c:pt idx="24">
                  <c:v>25056.584468438061</c:v>
                </c:pt>
                <c:pt idx="25">
                  <c:v>25757.361643100532</c:v>
                </c:pt>
                <c:pt idx="26">
                  <c:v>26459.471747675743</c:v>
                </c:pt>
                <c:pt idx="27">
                  <c:v>27176.940108813385</c:v>
                </c:pt>
                <c:pt idx="28">
                  <c:v>27914.805261257523</c:v>
                </c:pt>
                <c:pt idx="29">
                  <c:v>28736.70861057908</c:v>
                </c:pt>
                <c:pt idx="30">
                  <c:v>29378.791079469585</c:v>
                </c:pt>
                <c:pt idx="31">
                  <c:v>30036.980123958427</c:v>
                </c:pt>
                <c:pt idx="32">
                  <c:v>30676.000335524837</c:v>
                </c:pt>
                <c:pt idx="33">
                  <c:v>31334.234430623717</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60911.340429377713</c:v>
                </c:pt>
                <c:pt idx="3">
                  <c:v>55436.163761568474</c:v>
                </c:pt>
                <c:pt idx="4">
                  <c:v>44485.810425950018</c:v>
                </c:pt>
                <c:pt idx="5">
                  <c:v>40704.728491659072</c:v>
                </c:pt>
                <c:pt idx="6">
                  <c:v>38874.033737780155</c:v>
                </c:pt>
                <c:pt idx="7">
                  <c:v>37753.729073996197</c:v>
                </c:pt>
                <c:pt idx="8">
                  <c:v>36770.202530131144</c:v>
                </c:pt>
                <c:pt idx="9">
                  <c:v>34199.334153758718</c:v>
                </c:pt>
                <c:pt idx="10">
                  <c:v>32677.932392349045</c:v>
                </c:pt>
                <c:pt idx="11">
                  <c:v>31584.970912685378</c:v>
                </c:pt>
                <c:pt idx="12">
                  <c:v>29531.49146665119</c:v>
                </c:pt>
                <c:pt idx="13">
                  <c:v>27674.699335931055</c:v>
                </c:pt>
                <c:pt idx="14">
                  <c:v>26398.245679315067</c:v>
                </c:pt>
                <c:pt idx="15">
                  <c:v>26022.22605453428</c:v>
                </c:pt>
                <c:pt idx="16">
                  <c:v>25346.958244234163</c:v>
                </c:pt>
                <c:pt idx="17">
                  <c:v>24279.525002011211</c:v>
                </c:pt>
                <c:pt idx="18">
                  <c:v>20024.41519009323</c:v>
                </c:pt>
                <c:pt idx="19">
                  <c:v>14689.489568697003</c:v>
                </c:pt>
                <c:pt idx="20">
                  <c:v>13687.941669523072</c:v>
                </c:pt>
                <c:pt idx="21">
                  <c:v>13687.941669523078</c:v>
                </c:pt>
                <c:pt idx="22">
                  <c:v>13687.941669523083</c:v>
                </c:pt>
                <c:pt idx="23">
                  <c:v>13687.941669523081</c:v>
                </c:pt>
                <c:pt idx="24">
                  <c:v>13687.941669523083</c:v>
                </c:pt>
                <c:pt idx="25">
                  <c:v>13687.941669523076</c:v>
                </c:pt>
                <c:pt idx="26">
                  <c:v>13687.941669523074</c:v>
                </c:pt>
                <c:pt idx="27">
                  <c:v>13687.941669523087</c:v>
                </c:pt>
                <c:pt idx="28">
                  <c:v>13687.941669523079</c:v>
                </c:pt>
                <c:pt idx="29">
                  <c:v>13687.941669523081</c:v>
                </c:pt>
                <c:pt idx="30">
                  <c:v>13687.941669523076</c:v>
                </c:pt>
                <c:pt idx="31">
                  <c:v>13687.941669523078</c:v>
                </c:pt>
                <c:pt idx="32">
                  <c:v>13687.941669523074</c:v>
                </c:pt>
                <c:pt idx="33">
                  <c:v>13687.941669523079</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7449.3121878932852</c:v>
                </c:pt>
                <c:pt idx="2">
                  <c:v>10394.061707488836</c:v>
                </c:pt>
                <c:pt idx="3">
                  <c:v>11094.424163415901</c:v>
                </c:pt>
                <c:pt idx="4">
                  <c:v>12526.675899139518</c:v>
                </c:pt>
                <c:pt idx="5">
                  <c:v>13892.789414552248</c:v>
                </c:pt>
                <c:pt idx="6">
                  <c:v>15148.636884343905</c:v>
                </c:pt>
                <c:pt idx="7">
                  <c:v>16594.405069823497</c:v>
                </c:pt>
                <c:pt idx="8">
                  <c:v>18095.546857208428</c:v>
                </c:pt>
                <c:pt idx="9">
                  <c:v>18954.918501820048</c:v>
                </c:pt>
                <c:pt idx="10">
                  <c:v>20168.826661773055</c:v>
                </c:pt>
                <c:pt idx="11">
                  <c:v>21592.369302358646</c:v>
                </c:pt>
                <c:pt idx="12">
                  <c:v>22485.493578564485</c:v>
                </c:pt>
                <c:pt idx="13">
                  <c:v>23387.269385519867</c:v>
                </c:pt>
                <c:pt idx="14">
                  <c:v>22475.993162194154</c:v>
                </c:pt>
                <c:pt idx="15">
                  <c:v>22392.626163510547</c:v>
                </c:pt>
                <c:pt idx="16">
                  <c:v>22104.236845708667</c:v>
                </c:pt>
                <c:pt idx="17">
                  <c:v>21591.56560505191</c:v>
                </c:pt>
                <c:pt idx="18">
                  <c:v>18923.661897181821</c:v>
                </c:pt>
                <c:pt idx="19">
                  <c:v>15534.864037229972</c:v>
                </c:pt>
                <c:pt idx="20">
                  <c:v>14517.759922862664</c:v>
                </c:pt>
                <c:pt idx="21">
                  <c:v>13643.358446164657</c:v>
                </c:pt>
                <c:pt idx="22">
                  <c:v>12772.802789298486</c:v>
                </c:pt>
                <c:pt idx="23">
                  <c:v>11904.530807683859</c:v>
                </c:pt>
                <c:pt idx="24">
                  <c:v>11121.768116141986</c:v>
                </c:pt>
                <c:pt idx="25">
                  <c:v>10323.288247403594</c:v>
                </c:pt>
                <c:pt idx="26">
                  <c:v>9525.1630798827682</c:v>
                </c:pt>
                <c:pt idx="27">
                  <c:v>8731.1248431527856</c:v>
                </c:pt>
                <c:pt idx="28">
                  <c:v>7942.5143236956574</c:v>
                </c:pt>
                <c:pt idx="29">
                  <c:v>8077.1786739430172</c:v>
                </c:pt>
                <c:pt idx="30">
                  <c:v>8163.9915320576392</c:v>
                </c:pt>
                <c:pt idx="31">
                  <c:v>8255.0904534685887</c:v>
                </c:pt>
                <c:pt idx="32">
                  <c:v>8341.0884252257347</c:v>
                </c:pt>
                <c:pt idx="33">
                  <c:v>8432.1993348935939</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2572.2972467623063</c:v>
                </c:pt>
                <c:pt idx="3">
                  <c:v>2567.1213118810192</c:v>
                </c:pt>
                <c:pt idx="4">
                  <c:v>2937.7655654826231</c:v>
                </c:pt>
                <c:pt idx="5">
                  <c:v>3143.3394376331189</c:v>
                </c:pt>
                <c:pt idx="6">
                  <c:v>3193.7786150741408</c:v>
                </c:pt>
                <c:pt idx="7">
                  <c:v>3247.9631140768552</c:v>
                </c:pt>
                <c:pt idx="8">
                  <c:v>3295.6393491706608</c:v>
                </c:pt>
                <c:pt idx="9">
                  <c:v>3339.4558089478387</c:v>
                </c:pt>
                <c:pt idx="10">
                  <c:v>3379.7386694672964</c:v>
                </c:pt>
                <c:pt idx="11">
                  <c:v>3426.3883095687434</c:v>
                </c:pt>
                <c:pt idx="12">
                  <c:v>3485.8660805942818</c:v>
                </c:pt>
                <c:pt idx="13">
                  <c:v>3538.217660793739</c:v>
                </c:pt>
                <c:pt idx="14">
                  <c:v>3504.1852978367515</c:v>
                </c:pt>
                <c:pt idx="15">
                  <c:v>3598.6028123457536</c:v>
                </c:pt>
                <c:pt idx="16">
                  <c:v>3689.9033028722483</c:v>
                </c:pt>
                <c:pt idx="17">
                  <c:v>3802.1747903841533</c:v>
                </c:pt>
                <c:pt idx="18">
                  <c:v>3897.4519949695709</c:v>
                </c:pt>
                <c:pt idx="19">
                  <c:v>3992.1553192580318</c:v>
                </c:pt>
                <c:pt idx="20">
                  <c:v>4095.1250637445028</c:v>
                </c:pt>
                <c:pt idx="21">
                  <c:v>4195.0479450616976</c:v>
                </c:pt>
                <c:pt idx="22">
                  <c:v>4297.1410898359891</c:v>
                </c:pt>
                <c:pt idx="23">
                  <c:v>4400.5229525333853</c:v>
                </c:pt>
                <c:pt idx="24">
                  <c:v>4514.6270989529849</c:v>
                </c:pt>
                <c:pt idx="25">
                  <c:v>4619.8617671313086</c:v>
                </c:pt>
                <c:pt idx="26">
                  <c:v>4725.2965994162041</c:v>
                </c:pt>
                <c:pt idx="27">
                  <c:v>4833.0377582933197</c:v>
                </c:pt>
                <c:pt idx="28">
                  <c:v>4943.8418730466392</c:v>
                </c:pt>
                <c:pt idx="29">
                  <c:v>5067.2658790898813</c:v>
                </c:pt>
                <c:pt idx="30">
                  <c:v>5163.6864504210689</c:v>
                </c:pt>
                <c:pt idx="31">
                  <c:v>5262.5257223033932</c:v>
                </c:pt>
                <c:pt idx="32">
                  <c:v>5358.4864389974309</c:v>
                </c:pt>
                <c:pt idx="33">
                  <c:v>5457.3324760629976</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16127.973529920817</c:v>
                </c:pt>
                <c:pt idx="3">
                  <c:v>15092.075065303088</c:v>
                </c:pt>
                <c:pt idx="4">
                  <c:v>15557.401989929876</c:v>
                </c:pt>
                <c:pt idx="5">
                  <c:v>15924.925580885418</c:v>
                </c:pt>
                <c:pt idx="6">
                  <c:v>16260.809419085223</c:v>
                </c:pt>
                <c:pt idx="7">
                  <c:v>16621.634048258569</c:v>
                </c:pt>
                <c:pt idx="8">
                  <c:v>16939.118940888875</c:v>
                </c:pt>
                <c:pt idx="9">
                  <c:v>17230.900873762275</c:v>
                </c:pt>
                <c:pt idx="10">
                  <c:v>17499.151913755224</c:v>
                </c:pt>
                <c:pt idx="11">
                  <c:v>17809.800519915287</c:v>
                </c:pt>
                <c:pt idx="12">
                  <c:v>18205.874029301649</c:v>
                </c:pt>
                <c:pt idx="13">
                  <c:v>18554.49291218846</c:v>
                </c:pt>
                <c:pt idx="14">
                  <c:v>18327.865094826295</c:v>
                </c:pt>
                <c:pt idx="15">
                  <c:v>18956.608836804473</c:v>
                </c:pt>
                <c:pt idx="16">
                  <c:v>19564.595737927553</c:v>
                </c:pt>
                <c:pt idx="17">
                  <c:v>20312.232397744108</c:v>
                </c:pt>
                <c:pt idx="18">
                  <c:v>20946.70097539921</c:v>
                </c:pt>
                <c:pt idx="19">
                  <c:v>21577.347977711717</c:v>
                </c:pt>
                <c:pt idx="20">
                  <c:v>22263.042605404848</c:v>
                </c:pt>
                <c:pt idx="21">
                  <c:v>22928.447606111837</c:v>
                </c:pt>
                <c:pt idx="22">
                  <c:v>23608.304793727042</c:v>
                </c:pt>
                <c:pt idx="23">
                  <c:v>24296.743793027723</c:v>
                </c:pt>
                <c:pt idx="24">
                  <c:v>25056.584468438061</c:v>
                </c:pt>
                <c:pt idx="25">
                  <c:v>25757.361643100532</c:v>
                </c:pt>
                <c:pt idx="26">
                  <c:v>26459.471747675743</c:v>
                </c:pt>
                <c:pt idx="27">
                  <c:v>27176.940108813385</c:v>
                </c:pt>
                <c:pt idx="28">
                  <c:v>27914.805261257523</c:v>
                </c:pt>
                <c:pt idx="29">
                  <c:v>28736.70861057908</c:v>
                </c:pt>
                <c:pt idx="30">
                  <c:v>29378.791079469585</c:v>
                </c:pt>
                <c:pt idx="31">
                  <c:v>30036.980123958427</c:v>
                </c:pt>
                <c:pt idx="32">
                  <c:v>30676.000335524837</c:v>
                </c:pt>
                <c:pt idx="33">
                  <c:v>31334.234430623717</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60911.340429377713</c:v>
                </c:pt>
                <c:pt idx="3">
                  <c:v>55436.163761568474</c:v>
                </c:pt>
                <c:pt idx="4">
                  <c:v>44485.810425950018</c:v>
                </c:pt>
                <c:pt idx="5">
                  <c:v>40704.728491659072</c:v>
                </c:pt>
                <c:pt idx="6">
                  <c:v>38874.033737780155</c:v>
                </c:pt>
                <c:pt idx="7">
                  <c:v>37753.729073996197</c:v>
                </c:pt>
                <c:pt idx="8">
                  <c:v>36770.202530131144</c:v>
                </c:pt>
                <c:pt idx="9">
                  <c:v>34199.334153758718</c:v>
                </c:pt>
                <c:pt idx="10">
                  <c:v>32677.932392349045</c:v>
                </c:pt>
                <c:pt idx="11">
                  <c:v>31584.970912685378</c:v>
                </c:pt>
                <c:pt idx="12">
                  <c:v>29531.49146665119</c:v>
                </c:pt>
                <c:pt idx="13">
                  <c:v>27674.699335931055</c:v>
                </c:pt>
                <c:pt idx="14">
                  <c:v>26398.245679315067</c:v>
                </c:pt>
                <c:pt idx="15">
                  <c:v>26022.22605453428</c:v>
                </c:pt>
                <c:pt idx="16">
                  <c:v>25346.958244234163</c:v>
                </c:pt>
                <c:pt idx="17">
                  <c:v>24279.525002011211</c:v>
                </c:pt>
                <c:pt idx="18">
                  <c:v>20024.41519009323</c:v>
                </c:pt>
                <c:pt idx="19">
                  <c:v>14689.489568697003</c:v>
                </c:pt>
                <c:pt idx="20">
                  <c:v>13687.941669523072</c:v>
                </c:pt>
                <c:pt idx="21">
                  <c:v>13687.941669523078</c:v>
                </c:pt>
                <c:pt idx="22">
                  <c:v>13687.941669523083</c:v>
                </c:pt>
                <c:pt idx="23">
                  <c:v>13687.941669523081</c:v>
                </c:pt>
                <c:pt idx="24">
                  <c:v>13687.941669523083</c:v>
                </c:pt>
                <c:pt idx="25">
                  <c:v>13687.941669523076</c:v>
                </c:pt>
                <c:pt idx="26">
                  <c:v>13687.941669523074</c:v>
                </c:pt>
                <c:pt idx="27">
                  <c:v>13687.941669523087</c:v>
                </c:pt>
                <c:pt idx="28">
                  <c:v>13687.941669523079</c:v>
                </c:pt>
                <c:pt idx="29">
                  <c:v>13687.941669523081</c:v>
                </c:pt>
                <c:pt idx="30">
                  <c:v>13687.941669523076</c:v>
                </c:pt>
                <c:pt idx="31">
                  <c:v>13687.941669523078</c:v>
                </c:pt>
                <c:pt idx="32">
                  <c:v>13687.941669523074</c:v>
                </c:pt>
                <c:pt idx="33">
                  <c:v>13687.941669523079</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7449.3121878932852</c:v>
                </c:pt>
                <c:pt idx="2">
                  <c:v>10394.061707488836</c:v>
                </c:pt>
                <c:pt idx="3">
                  <c:v>11094.424163415901</c:v>
                </c:pt>
                <c:pt idx="4">
                  <c:v>12526.675899139518</c:v>
                </c:pt>
                <c:pt idx="5">
                  <c:v>13892.789414552248</c:v>
                </c:pt>
                <c:pt idx="6">
                  <c:v>15148.636884343905</c:v>
                </c:pt>
                <c:pt idx="7">
                  <c:v>16594.405069823497</c:v>
                </c:pt>
                <c:pt idx="8">
                  <c:v>18095.546857208428</c:v>
                </c:pt>
                <c:pt idx="9">
                  <c:v>18954.918501820048</c:v>
                </c:pt>
                <c:pt idx="10">
                  <c:v>20168.826661773055</c:v>
                </c:pt>
                <c:pt idx="11">
                  <c:v>21592.369302358646</c:v>
                </c:pt>
                <c:pt idx="12">
                  <c:v>22485.493578564485</c:v>
                </c:pt>
                <c:pt idx="13">
                  <c:v>23387.269385519867</c:v>
                </c:pt>
                <c:pt idx="14">
                  <c:v>22475.993162194154</c:v>
                </c:pt>
                <c:pt idx="15">
                  <c:v>22392.626163510547</c:v>
                </c:pt>
                <c:pt idx="16">
                  <c:v>22104.236845708667</c:v>
                </c:pt>
                <c:pt idx="17">
                  <c:v>21591.56560505191</c:v>
                </c:pt>
                <c:pt idx="18">
                  <c:v>18923.661897181821</c:v>
                </c:pt>
                <c:pt idx="19">
                  <c:v>15534.864037229972</c:v>
                </c:pt>
                <c:pt idx="20">
                  <c:v>14517.759922862664</c:v>
                </c:pt>
                <c:pt idx="21">
                  <c:v>13643.358446164657</c:v>
                </c:pt>
                <c:pt idx="22">
                  <c:v>12772.802789298486</c:v>
                </c:pt>
                <c:pt idx="23">
                  <c:v>11904.530807683859</c:v>
                </c:pt>
                <c:pt idx="24">
                  <c:v>11121.768116141986</c:v>
                </c:pt>
                <c:pt idx="25">
                  <c:v>10323.288247403594</c:v>
                </c:pt>
                <c:pt idx="26">
                  <c:v>9525.1630798827682</c:v>
                </c:pt>
                <c:pt idx="27">
                  <c:v>8731.1248431527856</c:v>
                </c:pt>
                <c:pt idx="28">
                  <c:v>7942.5143236956574</c:v>
                </c:pt>
                <c:pt idx="29">
                  <c:v>8077.1786739430172</c:v>
                </c:pt>
                <c:pt idx="30">
                  <c:v>8163.9915320576392</c:v>
                </c:pt>
                <c:pt idx="31">
                  <c:v>8255.0904534685887</c:v>
                </c:pt>
                <c:pt idx="32">
                  <c:v>8341.0884252257347</c:v>
                </c:pt>
                <c:pt idx="33">
                  <c:v>8432.1993348935939</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2572.2972467623063</c:v>
                </c:pt>
                <c:pt idx="3">
                  <c:v>2567.1213118810192</c:v>
                </c:pt>
                <c:pt idx="4">
                  <c:v>2937.7655654826231</c:v>
                </c:pt>
                <c:pt idx="5">
                  <c:v>3143.3394376331189</c:v>
                </c:pt>
                <c:pt idx="6">
                  <c:v>3193.7786150741408</c:v>
                </c:pt>
                <c:pt idx="7">
                  <c:v>3247.9631140768552</c:v>
                </c:pt>
                <c:pt idx="8">
                  <c:v>3295.6393491706608</c:v>
                </c:pt>
                <c:pt idx="9">
                  <c:v>3339.4558089478387</c:v>
                </c:pt>
                <c:pt idx="10">
                  <c:v>3379.7386694672964</c:v>
                </c:pt>
                <c:pt idx="11">
                  <c:v>3426.3883095687434</c:v>
                </c:pt>
                <c:pt idx="12">
                  <c:v>3485.8660805942818</c:v>
                </c:pt>
                <c:pt idx="13">
                  <c:v>3538.217660793739</c:v>
                </c:pt>
                <c:pt idx="14">
                  <c:v>3504.1852978367515</c:v>
                </c:pt>
                <c:pt idx="15">
                  <c:v>3598.6028123457536</c:v>
                </c:pt>
                <c:pt idx="16">
                  <c:v>3689.9033028722483</c:v>
                </c:pt>
                <c:pt idx="17">
                  <c:v>3802.1747903841533</c:v>
                </c:pt>
                <c:pt idx="18">
                  <c:v>3897.4519949695709</c:v>
                </c:pt>
                <c:pt idx="19">
                  <c:v>3992.1553192580318</c:v>
                </c:pt>
                <c:pt idx="20">
                  <c:v>4095.1250637445028</c:v>
                </c:pt>
                <c:pt idx="21">
                  <c:v>4195.0479450616976</c:v>
                </c:pt>
                <c:pt idx="22">
                  <c:v>4297.1410898359891</c:v>
                </c:pt>
                <c:pt idx="23">
                  <c:v>4400.5229525333853</c:v>
                </c:pt>
                <c:pt idx="24">
                  <c:v>4514.6270989529849</c:v>
                </c:pt>
                <c:pt idx="25">
                  <c:v>4619.8617671313086</c:v>
                </c:pt>
                <c:pt idx="26">
                  <c:v>4725.2965994162041</c:v>
                </c:pt>
                <c:pt idx="27">
                  <c:v>4833.0377582933197</c:v>
                </c:pt>
                <c:pt idx="28">
                  <c:v>4943.8418730466392</c:v>
                </c:pt>
                <c:pt idx="29">
                  <c:v>5067.2658790898813</c:v>
                </c:pt>
                <c:pt idx="30">
                  <c:v>5163.6864504210689</c:v>
                </c:pt>
                <c:pt idx="31">
                  <c:v>5262.5257223033932</c:v>
                </c:pt>
                <c:pt idx="32">
                  <c:v>5358.4864389974309</c:v>
                </c:pt>
                <c:pt idx="33">
                  <c:v>5457.3324760629976</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16127.973529920817</c:v>
                </c:pt>
                <c:pt idx="3">
                  <c:v>15092.075065303088</c:v>
                </c:pt>
                <c:pt idx="4">
                  <c:v>15557.401989929876</c:v>
                </c:pt>
                <c:pt idx="5">
                  <c:v>15924.925580885418</c:v>
                </c:pt>
                <c:pt idx="6">
                  <c:v>16260.809419085223</c:v>
                </c:pt>
                <c:pt idx="7">
                  <c:v>16621.634048258569</c:v>
                </c:pt>
                <c:pt idx="8">
                  <c:v>16939.118940888875</c:v>
                </c:pt>
                <c:pt idx="9">
                  <c:v>17230.900873762275</c:v>
                </c:pt>
                <c:pt idx="10">
                  <c:v>17499.151913755224</c:v>
                </c:pt>
                <c:pt idx="11">
                  <c:v>17809.800519915287</c:v>
                </c:pt>
                <c:pt idx="12">
                  <c:v>18205.874029301649</c:v>
                </c:pt>
                <c:pt idx="13">
                  <c:v>18554.49291218846</c:v>
                </c:pt>
                <c:pt idx="14">
                  <c:v>18327.865094826295</c:v>
                </c:pt>
                <c:pt idx="15">
                  <c:v>18956.608836804473</c:v>
                </c:pt>
                <c:pt idx="16">
                  <c:v>19564.595737927553</c:v>
                </c:pt>
                <c:pt idx="17">
                  <c:v>20312.232397744108</c:v>
                </c:pt>
                <c:pt idx="18">
                  <c:v>20946.70097539921</c:v>
                </c:pt>
                <c:pt idx="19">
                  <c:v>21577.347977711717</c:v>
                </c:pt>
                <c:pt idx="20">
                  <c:v>22263.042605404848</c:v>
                </c:pt>
                <c:pt idx="21">
                  <c:v>22928.447606111837</c:v>
                </c:pt>
                <c:pt idx="22">
                  <c:v>23608.304793727042</c:v>
                </c:pt>
                <c:pt idx="23">
                  <c:v>24296.743793027723</c:v>
                </c:pt>
                <c:pt idx="24">
                  <c:v>25056.584468438061</c:v>
                </c:pt>
                <c:pt idx="25">
                  <c:v>25757.361643100532</c:v>
                </c:pt>
                <c:pt idx="26">
                  <c:v>26459.471747675743</c:v>
                </c:pt>
                <c:pt idx="27">
                  <c:v>27176.940108813385</c:v>
                </c:pt>
                <c:pt idx="28">
                  <c:v>27914.805261257523</c:v>
                </c:pt>
                <c:pt idx="29">
                  <c:v>28736.70861057908</c:v>
                </c:pt>
                <c:pt idx="30">
                  <c:v>29378.791079469585</c:v>
                </c:pt>
                <c:pt idx="31">
                  <c:v>30036.980123958427</c:v>
                </c:pt>
                <c:pt idx="32">
                  <c:v>30676.000335524837</c:v>
                </c:pt>
                <c:pt idx="33">
                  <c:v>31334.234430623717</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21927.187257565794</c:v>
                </c:pt>
                <c:pt idx="10">
                  <c:v>21606.268508837569</c:v>
                </c:pt>
                <c:pt idx="11">
                  <c:v>21303.259186884545</c:v>
                </c:pt>
                <c:pt idx="12">
                  <c:v>20987.195043739935</c:v>
                </c:pt>
                <c:pt idx="13">
                  <c:v>20671.272147327039</c:v>
                </c:pt>
                <c:pt idx="14">
                  <c:v>20355.063052867317</c:v>
                </c:pt>
                <c:pt idx="15">
                  <c:v>20035.210370283494</c:v>
                </c:pt>
                <c:pt idx="16">
                  <c:v>19706.629719752429</c:v>
                </c:pt>
                <c:pt idx="17">
                  <c:v>19388.032357509546</c:v>
                </c:pt>
                <c:pt idx="18">
                  <c:v>19017.039288243926</c:v>
                </c:pt>
                <c:pt idx="19">
                  <c:v>18664.429254436356</c:v>
                </c:pt>
                <c:pt idx="20">
                  <c:v>18326.8260322243</c:v>
                </c:pt>
                <c:pt idx="21">
                  <c:v>17987.105793800118</c:v>
                </c:pt>
                <c:pt idx="22">
                  <c:v>17680.263863420914</c:v>
                </c:pt>
                <c:pt idx="23">
                  <c:v>17386.53141090244</c:v>
                </c:pt>
                <c:pt idx="24">
                  <c:v>17108.630402161925</c:v>
                </c:pt>
                <c:pt idx="25">
                  <c:v>16840.369470868576</c:v>
                </c:pt>
                <c:pt idx="26">
                  <c:v>16587.038452937049</c:v>
                </c:pt>
                <c:pt idx="27">
                  <c:v>16382.868942616344</c:v>
                </c:pt>
                <c:pt idx="28">
                  <c:v>16196.784524045621</c:v>
                </c:pt>
                <c:pt idx="29">
                  <c:v>16027.561601353453</c:v>
                </c:pt>
                <c:pt idx="30">
                  <c:v>15874.488327232009</c:v>
                </c:pt>
                <c:pt idx="31">
                  <c:v>15732.229939819681</c:v>
                </c:pt>
                <c:pt idx="32">
                  <c:v>15600.169000238566</c:v>
                </c:pt>
                <c:pt idx="33">
                  <c:v>15479.362491499836</c:v>
                </c:pt>
                <c:pt idx="34">
                  <c:v>15369.910015499416</c:v>
                </c:pt>
                <c:pt idx="35">
                  <c:v>15271.723162527553</c:v>
                </c:pt>
                <c:pt idx="36">
                  <c:v>15179.44626696277</c:v>
                </c:pt>
                <c:pt idx="37">
                  <c:v>15083.527678177799</c:v>
                </c:pt>
                <c:pt idx="38">
                  <c:v>14994.298817901577</c:v>
                </c:pt>
                <c:pt idx="39">
                  <c:v>14911.018006842978</c:v>
                </c:pt>
                <c:pt idx="40">
                  <c:v>14834.445046053688</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22036.363493759898</c:v>
                </c:pt>
                <c:pt idx="10">
                  <c:v>21840.242908759446</c:v>
                </c:pt>
                <c:pt idx="11">
                  <c:v>21731.056186946262</c:v>
                </c:pt>
                <c:pt idx="12">
                  <c:v>21385.589185142089</c:v>
                </c:pt>
                <c:pt idx="13">
                  <c:v>20938.450257987919</c:v>
                </c:pt>
                <c:pt idx="14">
                  <c:v>20517.842845988001</c:v>
                </c:pt>
                <c:pt idx="15">
                  <c:v>20120.622649806784</c:v>
                </c:pt>
                <c:pt idx="16">
                  <c:v>19737.607789673471</c:v>
                </c:pt>
                <c:pt idx="17">
                  <c:v>19374.72653011472</c:v>
                </c:pt>
                <c:pt idx="18">
                  <c:v>19031.947592247467</c:v>
                </c:pt>
                <c:pt idx="19">
                  <c:v>18708.805342324784</c:v>
                </c:pt>
                <c:pt idx="20">
                  <c:v>18401.082223367659</c:v>
                </c:pt>
                <c:pt idx="21">
                  <c:v>17992.823659076959</c:v>
                </c:pt>
                <c:pt idx="22">
                  <c:v>17612.784770061582</c:v>
                </c:pt>
                <c:pt idx="23">
                  <c:v>17256.217878097137</c:v>
                </c:pt>
                <c:pt idx="24">
                  <c:v>16923.658026727742</c:v>
                </c:pt>
                <c:pt idx="25">
                  <c:v>16608.629400805581</c:v>
                </c:pt>
                <c:pt idx="26">
                  <c:v>16305.675695247708</c:v>
                </c:pt>
                <c:pt idx="27">
                  <c:v>16021.890694772401</c:v>
                </c:pt>
                <c:pt idx="28">
                  <c:v>15758.920295251108</c:v>
                </c:pt>
                <c:pt idx="29">
                  <c:v>15520.654317547986</c:v>
                </c:pt>
                <c:pt idx="30">
                  <c:v>15305.939387125749</c:v>
                </c:pt>
                <c:pt idx="31">
                  <c:v>15108.621873267497</c:v>
                </c:pt>
                <c:pt idx="32">
                  <c:v>14930.821165490406</c:v>
                </c:pt>
                <c:pt idx="33">
                  <c:v>14772.929706639337</c:v>
                </c:pt>
                <c:pt idx="34">
                  <c:v>14634.39281689219</c:v>
                </c:pt>
                <c:pt idx="35">
                  <c:v>14514.503631812517</c:v>
                </c:pt>
                <c:pt idx="36">
                  <c:v>14407.151732786206</c:v>
                </c:pt>
                <c:pt idx="37">
                  <c:v>14305.003969173951</c:v>
                </c:pt>
                <c:pt idx="38">
                  <c:v>14211.750975398802</c:v>
                </c:pt>
                <c:pt idx="39">
                  <c:v>14126.220907729061</c:v>
                </c:pt>
                <c:pt idx="40">
                  <c:v>14048.838482797415</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21887.22278896585</c:v>
                </c:pt>
                <c:pt idx="10">
                  <c:v>21596.100929768359</c:v>
                </c:pt>
                <c:pt idx="11">
                  <c:v>21333.772251821072</c:v>
                </c:pt>
                <c:pt idx="12">
                  <c:v>20842.995125112568</c:v>
                </c:pt>
                <c:pt idx="13">
                  <c:v>20393.03506713585</c:v>
                </c:pt>
                <c:pt idx="14">
                  <c:v>19969.400869056153</c:v>
                </c:pt>
                <c:pt idx="15">
                  <c:v>19569.528809112329</c:v>
                </c:pt>
                <c:pt idx="16">
                  <c:v>19184.08682571898</c:v>
                </c:pt>
                <c:pt idx="17">
                  <c:v>18818.984426288262</c:v>
                </c:pt>
                <c:pt idx="18">
                  <c:v>18473.629405613861</c:v>
                </c:pt>
                <c:pt idx="19">
                  <c:v>18147.190002474686</c:v>
                </c:pt>
                <c:pt idx="20">
                  <c:v>17836.578727787557</c:v>
                </c:pt>
                <c:pt idx="21">
                  <c:v>17430.330030458048</c:v>
                </c:pt>
                <c:pt idx="22">
                  <c:v>17045.021781760493</c:v>
                </c:pt>
                <c:pt idx="23">
                  <c:v>16683.358483794549</c:v>
                </c:pt>
                <c:pt idx="24">
                  <c:v>16344.511052239122</c:v>
                </c:pt>
                <c:pt idx="25">
                  <c:v>16024.154230439461</c:v>
                </c:pt>
                <c:pt idx="26">
                  <c:v>15715.901854877542</c:v>
                </c:pt>
                <c:pt idx="27">
                  <c:v>15426.347034418694</c:v>
                </c:pt>
                <c:pt idx="28">
                  <c:v>15157.7766268412</c:v>
                </c:pt>
                <c:pt idx="29">
                  <c:v>14913.785122201398</c:v>
                </c:pt>
                <c:pt idx="30">
                  <c:v>14693.269234252464</c:v>
                </c:pt>
                <c:pt idx="31">
                  <c:v>14489.541163533986</c:v>
                </c:pt>
                <c:pt idx="32">
                  <c:v>14305.829980840806</c:v>
                </c:pt>
                <c:pt idx="33">
                  <c:v>14142.014562284501</c:v>
                </c:pt>
                <c:pt idx="34">
                  <c:v>13997.421064813025</c:v>
                </c:pt>
                <c:pt idx="35">
                  <c:v>13871.299890790318</c:v>
                </c:pt>
                <c:pt idx="36">
                  <c:v>13756.999431971955</c:v>
                </c:pt>
                <c:pt idx="37">
                  <c:v>13649.430771717416</c:v>
                </c:pt>
                <c:pt idx="38">
                  <c:v>13550.618183487019</c:v>
                </c:pt>
                <c:pt idx="39">
                  <c:v>13459.689962574757</c:v>
                </c:pt>
                <c:pt idx="40">
                  <c:v>13376.744456212266</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21927.187257565794</c:v>
                </c:pt>
                <c:pt idx="10">
                  <c:v>21606.268508837569</c:v>
                </c:pt>
                <c:pt idx="11">
                  <c:v>21303.259186884545</c:v>
                </c:pt>
                <c:pt idx="12">
                  <c:v>20987.195043739935</c:v>
                </c:pt>
                <c:pt idx="13">
                  <c:v>20671.272147327039</c:v>
                </c:pt>
                <c:pt idx="14">
                  <c:v>20355.063052867317</c:v>
                </c:pt>
                <c:pt idx="15">
                  <c:v>20035.210370283494</c:v>
                </c:pt>
                <c:pt idx="16">
                  <c:v>19706.629719752429</c:v>
                </c:pt>
                <c:pt idx="17">
                  <c:v>19388.032357509546</c:v>
                </c:pt>
                <c:pt idx="18">
                  <c:v>19017.039288243926</c:v>
                </c:pt>
                <c:pt idx="19">
                  <c:v>18664.429254436356</c:v>
                </c:pt>
                <c:pt idx="20">
                  <c:v>18326.8260322243</c:v>
                </c:pt>
                <c:pt idx="21">
                  <c:v>17987.105793800118</c:v>
                </c:pt>
                <c:pt idx="22">
                  <c:v>17680.263863420914</c:v>
                </c:pt>
                <c:pt idx="23">
                  <c:v>17386.53141090244</c:v>
                </c:pt>
                <c:pt idx="24">
                  <c:v>17108.630402161925</c:v>
                </c:pt>
                <c:pt idx="25">
                  <c:v>16840.369470868576</c:v>
                </c:pt>
                <c:pt idx="26">
                  <c:v>16587.038452937049</c:v>
                </c:pt>
                <c:pt idx="27">
                  <c:v>16382.868942616344</c:v>
                </c:pt>
                <c:pt idx="28">
                  <c:v>16196.784524045621</c:v>
                </c:pt>
                <c:pt idx="29">
                  <c:v>16027.561601353453</c:v>
                </c:pt>
                <c:pt idx="30">
                  <c:v>15874.488327232009</c:v>
                </c:pt>
                <c:pt idx="31">
                  <c:v>15732.229939819681</c:v>
                </c:pt>
                <c:pt idx="32">
                  <c:v>15600.169000238566</c:v>
                </c:pt>
                <c:pt idx="33">
                  <c:v>15479.362491499836</c:v>
                </c:pt>
                <c:pt idx="34">
                  <c:v>15369.910015499416</c:v>
                </c:pt>
                <c:pt idx="35">
                  <c:v>15271.723162527553</c:v>
                </c:pt>
                <c:pt idx="36">
                  <c:v>15179.44626696277</c:v>
                </c:pt>
                <c:pt idx="37">
                  <c:v>15083.527678177799</c:v>
                </c:pt>
                <c:pt idx="38">
                  <c:v>14994.298817901577</c:v>
                </c:pt>
                <c:pt idx="39">
                  <c:v>14911.018006842978</c:v>
                </c:pt>
                <c:pt idx="40">
                  <c:v>14834.445046053688</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22036.363493759898</c:v>
                </c:pt>
                <c:pt idx="10">
                  <c:v>21840.242908759446</c:v>
                </c:pt>
                <c:pt idx="11">
                  <c:v>21731.056186946262</c:v>
                </c:pt>
                <c:pt idx="12">
                  <c:v>21385.589185142089</c:v>
                </c:pt>
                <c:pt idx="13">
                  <c:v>20938.450257987919</c:v>
                </c:pt>
                <c:pt idx="14">
                  <c:v>20517.842845988001</c:v>
                </c:pt>
                <c:pt idx="15">
                  <c:v>20120.622649806784</c:v>
                </c:pt>
                <c:pt idx="16">
                  <c:v>19737.607789673471</c:v>
                </c:pt>
                <c:pt idx="17">
                  <c:v>19374.72653011472</c:v>
                </c:pt>
                <c:pt idx="18">
                  <c:v>19031.947592247467</c:v>
                </c:pt>
                <c:pt idx="19">
                  <c:v>18708.805342324784</c:v>
                </c:pt>
                <c:pt idx="20">
                  <c:v>18401.082223367659</c:v>
                </c:pt>
                <c:pt idx="21">
                  <c:v>17992.823659076959</c:v>
                </c:pt>
                <c:pt idx="22">
                  <c:v>17612.784770061582</c:v>
                </c:pt>
                <c:pt idx="23">
                  <c:v>17256.217878097137</c:v>
                </c:pt>
                <c:pt idx="24">
                  <c:v>16923.658026727742</c:v>
                </c:pt>
                <c:pt idx="25">
                  <c:v>16608.629400805581</c:v>
                </c:pt>
                <c:pt idx="26">
                  <c:v>16305.675695247708</c:v>
                </c:pt>
                <c:pt idx="27">
                  <c:v>16021.890694772401</c:v>
                </c:pt>
                <c:pt idx="28">
                  <c:v>15758.920295251108</c:v>
                </c:pt>
                <c:pt idx="29">
                  <c:v>15520.654317547986</c:v>
                </c:pt>
                <c:pt idx="30">
                  <c:v>15305.939387125749</c:v>
                </c:pt>
                <c:pt idx="31">
                  <c:v>15108.621873267497</c:v>
                </c:pt>
                <c:pt idx="32">
                  <c:v>14930.821165490406</c:v>
                </c:pt>
                <c:pt idx="33">
                  <c:v>14772.929706639337</c:v>
                </c:pt>
                <c:pt idx="34">
                  <c:v>14634.39281689219</c:v>
                </c:pt>
                <c:pt idx="35">
                  <c:v>14514.503631812517</c:v>
                </c:pt>
                <c:pt idx="36">
                  <c:v>14407.151732786206</c:v>
                </c:pt>
                <c:pt idx="37">
                  <c:v>14305.003969173951</c:v>
                </c:pt>
                <c:pt idx="38">
                  <c:v>14211.750975398802</c:v>
                </c:pt>
                <c:pt idx="39">
                  <c:v>14126.220907729061</c:v>
                </c:pt>
                <c:pt idx="40">
                  <c:v>14048.838482797415</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21887.22278896585</c:v>
                </c:pt>
                <c:pt idx="10">
                  <c:v>21596.100929768359</c:v>
                </c:pt>
                <c:pt idx="11">
                  <c:v>21333.772251821072</c:v>
                </c:pt>
                <c:pt idx="12">
                  <c:v>20842.995125112568</c:v>
                </c:pt>
                <c:pt idx="13">
                  <c:v>20393.03506713585</c:v>
                </c:pt>
                <c:pt idx="14">
                  <c:v>19969.400869056153</c:v>
                </c:pt>
                <c:pt idx="15">
                  <c:v>19569.528809112329</c:v>
                </c:pt>
                <c:pt idx="16">
                  <c:v>19184.08682571898</c:v>
                </c:pt>
                <c:pt idx="17">
                  <c:v>18818.984426288262</c:v>
                </c:pt>
                <c:pt idx="18">
                  <c:v>18473.629405613861</c:v>
                </c:pt>
                <c:pt idx="19">
                  <c:v>18147.190002474686</c:v>
                </c:pt>
                <c:pt idx="20">
                  <c:v>17836.578727787557</c:v>
                </c:pt>
                <c:pt idx="21">
                  <c:v>17430.330030458048</c:v>
                </c:pt>
                <c:pt idx="22">
                  <c:v>17045.021781760493</c:v>
                </c:pt>
                <c:pt idx="23">
                  <c:v>16683.358483794549</c:v>
                </c:pt>
                <c:pt idx="24">
                  <c:v>16344.511052239122</c:v>
                </c:pt>
                <c:pt idx="25">
                  <c:v>16024.154230439461</c:v>
                </c:pt>
                <c:pt idx="26">
                  <c:v>15715.901854877542</c:v>
                </c:pt>
                <c:pt idx="27">
                  <c:v>15426.347034418694</c:v>
                </c:pt>
                <c:pt idx="28">
                  <c:v>15157.7766268412</c:v>
                </c:pt>
                <c:pt idx="29">
                  <c:v>14913.785122201398</c:v>
                </c:pt>
                <c:pt idx="30">
                  <c:v>14693.269234252464</c:v>
                </c:pt>
                <c:pt idx="31">
                  <c:v>14489.541163533986</c:v>
                </c:pt>
                <c:pt idx="32">
                  <c:v>14305.829980840806</c:v>
                </c:pt>
                <c:pt idx="33">
                  <c:v>14142.014562284501</c:v>
                </c:pt>
                <c:pt idx="34">
                  <c:v>13997.421064813025</c:v>
                </c:pt>
                <c:pt idx="35">
                  <c:v>13871.299890790318</c:v>
                </c:pt>
                <c:pt idx="36">
                  <c:v>13756.999431971955</c:v>
                </c:pt>
                <c:pt idx="37">
                  <c:v>13649.430771717416</c:v>
                </c:pt>
                <c:pt idx="38">
                  <c:v>13550.618183487019</c:v>
                </c:pt>
                <c:pt idx="39">
                  <c:v>13459.689962574757</c:v>
                </c:pt>
                <c:pt idx="40">
                  <c:v>13376.744456212266</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112.05118639834505</c:v>
                </c:pt>
                <c:pt idx="10">
                  <c:v>107.41773191637904</c:v>
                </c:pt>
                <c:pt idx="11">
                  <c:v>105.32657968058341</c:v>
                </c:pt>
                <c:pt idx="12">
                  <c:v>103.29996426509275</c:v>
                </c:pt>
                <c:pt idx="13">
                  <c:v>101.39731521582218</c:v>
                </c:pt>
                <c:pt idx="14">
                  <c:v>99.831483745770683</c:v>
                </c:pt>
                <c:pt idx="15">
                  <c:v>98.441274251518365</c:v>
                </c:pt>
                <c:pt idx="16">
                  <c:v>96.907374831151913</c:v>
                </c:pt>
                <c:pt idx="17">
                  <c:v>96.399561680965945</c:v>
                </c:pt>
                <c:pt idx="18">
                  <c:v>96.69793252231031</c:v>
                </c:pt>
                <c:pt idx="19">
                  <c:v>95.628812854832148</c:v>
                </c:pt>
                <c:pt idx="20">
                  <c:v>94.734350762496746</c:v>
                </c:pt>
                <c:pt idx="21">
                  <c:v>91.993028133330384</c:v>
                </c:pt>
                <c:pt idx="22">
                  <c:v>91.964950458389495</c:v>
                </c:pt>
                <c:pt idx="23">
                  <c:v>91.409803082001517</c:v>
                </c:pt>
                <c:pt idx="24">
                  <c:v>90.399898463030297</c:v>
                </c:pt>
                <c:pt idx="25">
                  <c:v>85.849150609595696</c:v>
                </c:pt>
                <c:pt idx="26">
                  <c:v>83.664000483985475</c:v>
                </c:pt>
                <c:pt idx="27">
                  <c:v>83.005097732884224</c:v>
                </c:pt>
                <c:pt idx="28">
                  <c:v>82.321340690225284</c:v>
                </c:pt>
                <c:pt idx="29">
                  <c:v>81.691474787050097</c:v>
                </c:pt>
                <c:pt idx="30">
                  <c:v>81.106038032240903</c:v>
                </c:pt>
                <c:pt idx="31">
                  <c:v>80.212893275553853</c:v>
                </c:pt>
                <c:pt idx="32">
                  <c:v>79.307575830017925</c:v>
                </c:pt>
                <c:pt idx="33">
                  <c:v>78.471761212304571</c:v>
                </c:pt>
                <c:pt idx="34">
                  <c:v>77.721660928013421</c:v>
                </c:pt>
                <c:pt idx="35">
                  <c:v>77.060957497347488</c:v>
                </c:pt>
                <c:pt idx="36">
                  <c:v>77.017733141941747</c:v>
                </c:pt>
                <c:pt idx="37">
                  <c:v>76.773846562149316</c:v>
                </c:pt>
                <c:pt idx="38">
                  <c:v>76.826041565265527</c:v>
                </c:pt>
                <c:pt idx="39">
                  <c:v>76.899276675732651</c:v>
                </c:pt>
                <c:pt idx="40">
                  <c:v>77.045303490688354</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112.05118639834505</c:v>
                </c:pt>
                <c:pt idx="10">
                  <c:v>107.41773191637904</c:v>
                </c:pt>
                <c:pt idx="11">
                  <c:v>105.32657968058341</c:v>
                </c:pt>
                <c:pt idx="12">
                  <c:v>103.29996426509275</c:v>
                </c:pt>
                <c:pt idx="13">
                  <c:v>101.39731521582218</c:v>
                </c:pt>
                <c:pt idx="14">
                  <c:v>99.831483745770683</c:v>
                </c:pt>
                <c:pt idx="15">
                  <c:v>98.441274251518365</c:v>
                </c:pt>
                <c:pt idx="16">
                  <c:v>96.907374831151913</c:v>
                </c:pt>
                <c:pt idx="17">
                  <c:v>96.399561680965945</c:v>
                </c:pt>
                <c:pt idx="18">
                  <c:v>96.69793252231031</c:v>
                </c:pt>
                <c:pt idx="19">
                  <c:v>95.628812854832148</c:v>
                </c:pt>
                <c:pt idx="20">
                  <c:v>94.734350762496746</c:v>
                </c:pt>
                <c:pt idx="21">
                  <c:v>91.993028133330384</c:v>
                </c:pt>
                <c:pt idx="22">
                  <c:v>91.964950458389495</c:v>
                </c:pt>
                <c:pt idx="23">
                  <c:v>91.409803082001517</c:v>
                </c:pt>
                <c:pt idx="24">
                  <c:v>90.399898463030297</c:v>
                </c:pt>
                <c:pt idx="25">
                  <c:v>85.849150609595696</c:v>
                </c:pt>
                <c:pt idx="26">
                  <c:v>83.664000483985475</c:v>
                </c:pt>
                <c:pt idx="27">
                  <c:v>83.005097732884224</c:v>
                </c:pt>
                <c:pt idx="28">
                  <c:v>82.321340690225284</c:v>
                </c:pt>
                <c:pt idx="29">
                  <c:v>81.691474787050097</c:v>
                </c:pt>
                <c:pt idx="30">
                  <c:v>81.106038032240903</c:v>
                </c:pt>
                <c:pt idx="31">
                  <c:v>80.212893275553853</c:v>
                </c:pt>
                <c:pt idx="32">
                  <c:v>79.307575830017925</c:v>
                </c:pt>
                <c:pt idx="33">
                  <c:v>78.471761212304571</c:v>
                </c:pt>
                <c:pt idx="34">
                  <c:v>77.721660928013421</c:v>
                </c:pt>
                <c:pt idx="35">
                  <c:v>77.060957497347488</c:v>
                </c:pt>
                <c:pt idx="36">
                  <c:v>77.017733141941747</c:v>
                </c:pt>
                <c:pt idx="37">
                  <c:v>76.773846562149316</c:v>
                </c:pt>
                <c:pt idx="38">
                  <c:v>76.826041565265527</c:v>
                </c:pt>
                <c:pt idx="39">
                  <c:v>76.899276675732651</c:v>
                </c:pt>
                <c:pt idx="40">
                  <c:v>77.045303490688354</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113.72124321998997</c:v>
                </c:pt>
                <c:pt idx="10">
                  <c:v>107.76458718195072</c:v>
                </c:pt>
                <c:pt idx="11">
                  <c:v>98.4841732303519</c:v>
                </c:pt>
                <c:pt idx="12">
                  <c:v>95.352491023753245</c:v>
                </c:pt>
                <c:pt idx="13">
                  <c:v>94.919649967461893</c:v>
                </c:pt>
                <c:pt idx="14">
                  <c:v>95.417503736729643</c:v>
                </c:pt>
                <c:pt idx="15">
                  <c:v>96.059347468913728</c:v>
                </c:pt>
                <c:pt idx="16">
                  <c:v>94.431291717526335</c:v>
                </c:pt>
                <c:pt idx="17">
                  <c:v>94.181019377283647</c:v>
                </c:pt>
                <c:pt idx="18">
                  <c:v>94.618392890226815</c:v>
                </c:pt>
                <c:pt idx="19">
                  <c:v>93.663848789751768</c:v>
                </c:pt>
                <c:pt idx="20">
                  <c:v>92.860784104534616</c:v>
                </c:pt>
                <c:pt idx="21">
                  <c:v>90.018805930502452</c:v>
                </c:pt>
                <c:pt idx="22">
                  <c:v>89.890519125248531</c:v>
                </c:pt>
                <c:pt idx="23">
                  <c:v>89.703397536551293</c:v>
                </c:pt>
                <c:pt idx="24">
                  <c:v>89.061169010269779</c:v>
                </c:pt>
                <c:pt idx="25">
                  <c:v>82.946593849088401</c:v>
                </c:pt>
                <c:pt idx="26">
                  <c:v>75.016350094586969</c:v>
                </c:pt>
                <c:pt idx="27">
                  <c:v>73.855032983271357</c:v>
                </c:pt>
                <c:pt idx="28">
                  <c:v>73.815174395731944</c:v>
                </c:pt>
                <c:pt idx="29">
                  <c:v>73.796331939100853</c:v>
                </c:pt>
                <c:pt idx="30">
                  <c:v>73.790194967974287</c:v>
                </c:pt>
                <c:pt idx="31">
                  <c:v>73.941496439318925</c:v>
                </c:pt>
                <c:pt idx="32">
                  <c:v>74.009549575405472</c:v>
                </c:pt>
                <c:pt idx="33">
                  <c:v>74.079894480752344</c:v>
                </c:pt>
                <c:pt idx="34">
                  <c:v>74.172397046004178</c:v>
                </c:pt>
                <c:pt idx="35">
                  <c:v>74.294195412452794</c:v>
                </c:pt>
                <c:pt idx="36">
                  <c:v>75.425267150084025</c:v>
                </c:pt>
                <c:pt idx="37">
                  <c:v>76.301941964538074</c:v>
                </c:pt>
                <c:pt idx="38">
                  <c:v>77.201708249624033</c:v>
                </c:pt>
                <c:pt idx="39">
                  <c:v>78.074607583858437</c:v>
                </c:pt>
                <c:pt idx="40">
                  <c:v>78.975001711193556</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113.72124321998997</c:v>
                </c:pt>
                <c:pt idx="10">
                  <c:v>107.76458718195072</c:v>
                </c:pt>
                <c:pt idx="11">
                  <c:v>98.4841732303519</c:v>
                </c:pt>
                <c:pt idx="12">
                  <c:v>95.352491023753245</c:v>
                </c:pt>
                <c:pt idx="13">
                  <c:v>94.919649967461893</c:v>
                </c:pt>
                <c:pt idx="14">
                  <c:v>95.417503736729643</c:v>
                </c:pt>
                <c:pt idx="15">
                  <c:v>96.059347468913728</c:v>
                </c:pt>
                <c:pt idx="16">
                  <c:v>94.431291717526335</c:v>
                </c:pt>
                <c:pt idx="17">
                  <c:v>94.181019377283647</c:v>
                </c:pt>
                <c:pt idx="18">
                  <c:v>94.618392890226815</c:v>
                </c:pt>
                <c:pt idx="19">
                  <c:v>93.663848789751768</c:v>
                </c:pt>
                <c:pt idx="20">
                  <c:v>92.860784104534616</c:v>
                </c:pt>
                <c:pt idx="21">
                  <c:v>90.018805930502452</c:v>
                </c:pt>
                <c:pt idx="22">
                  <c:v>89.890519125248531</c:v>
                </c:pt>
                <c:pt idx="23">
                  <c:v>89.703397536551293</c:v>
                </c:pt>
                <c:pt idx="24">
                  <c:v>89.061169010269779</c:v>
                </c:pt>
                <c:pt idx="25">
                  <c:v>82.946593849088401</c:v>
                </c:pt>
                <c:pt idx="26">
                  <c:v>75.016350094586969</c:v>
                </c:pt>
                <c:pt idx="27">
                  <c:v>73.855032983271357</c:v>
                </c:pt>
                <c:pt idx="28">
                  <c:v>73.815174395731944</c:v>
                </c:pt>
                <c:pt idx="29">
                  <c:v>73.796331939100853</c:v>
                </c:pt>
                <c:pt idx="30">
                  <c:v>73.790194967974287</c:v>
                </c:pt>
                <c:pt idx="31">
                  <c:v>73.941496439318925</c:v>
                </c:pt>
                <c:pt idx="32">
                  <c:v>74.009549575405472</c:v>
                </c:pt>
                <c:pt idx="33">
                  <c:v>74.079894480752344</c:v>
                </c:pt>
                <c:pt idx="34">
                  <c:v>74.172397046004178</c:v>
                </c:pt>
                <c:pt idx="35">
                  <c:v>74.294195412452794</c:v>
                </c:pt>
                <c:pt idx="36">
                  <c:v>75.425267150084025</c:v>
                </c:pt>
                <c:pt idx="37">
                  <c:v>76.301941964538074</c:v>
                </c:pt>
                <c:pt idx="38">
                  <c:v>77.201708249624033</c:v>
                </c:pt>
                <c:pt idx="39">
                  <c:v>78.074607583858437</c:v>
                </c:pt>
                <c:pt idx="40">
                  <c:v>78.975001711193556</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113.72124321998997</c:v>
                </c:pt>
                <c:pt idx="10">
                  <c:v>107.76458718195072</c:v>
                </c:pt>
                <c:pt idx="11">
                  <c:v>98.4841732303519</c:v>
                </c:pt>
                <c:pt idx="12">
                  <c:v>95.352491023753245</c:v>
                </c:pt>
                <c:pt idx="13">
                  <c:v>94.919649967461893</c:v>
                </c:pt>
                <c:pt idx="14">
                  <c:v>95.417503736729643</c:v>
                </c:pt>
                <c:pt idx="15">
                  <c:v>96.059347468913728</c:v>
                </c:pt>
                <c:pt idx="16">
                  <c:v>94.431291717526335</c:v>
                </c:pt>
                <c:pt idx="17">
                  <c:v>94.181019377283647</c:v>
                </c:pt>
                <c:pt idx="18">
                  <c:v>94.618392890226815</c:v>
                </c:pt>
                <c:pt idx="19">
                  <c:v>93.663848789751768</c:v>
                </c:pt>
                <c:pt idx="20">
                  <c:v>92.860784104534616</c:v>
                </c:pt>
                <c:pt idx="21">
                  <c:v>90.018805930502452</c:v>
                </c:pt>
                <c:pt idx="22">
                  <c:v>89.890519125248531</c:v>
                </c:pt>
                <c:pt idx="23">
                  <c:v>89.703397536551293</c:v>
                </c:pt>
                <c:pt idx="24">
                  <c:v>89.061169010269779</c:v>
                </c:pt>
                <c:pt idx="25">
                  <c:v>82.946593849088401</c:v>
                </c:pt>
                <c:pt idx="26">
                  <c:v>75.016350094586969</c:v>
                </c:pt>
                <c:pt idx="27">
                  <c:v>73.855032983271357</c:v>
                </c:pt>
                <c:pt idx="28">
                  <c:v>73.815174395731944</c:v>
                </c:pt>
                <c:pt idx="29">
                  <c:v>73.796331939100853</c:v>
                </c:pt>
                <c:pt idx="30">
                  <c:v>73.790194967974287</c:v>
                </c:pt>
                <c:pt idx="31">
                  <c:v>73.941496439318925</c:v>
                </c:pt>
                <c:pt idx="32">
                  <c:v>74.009549575405472</c:v>
                </c:pt>
                <c:pt idx="33">
                  <c:v>74.079894480752344</c:v>
                </c:pt>
                <c:pt idx="34">
                  <c:v>74.172397046004178</c:v>
                </c:pt>
                <c:pt idx="35">
                  <c:v>74.294195412452794</c:v>
                </c:pt>
                <c:pt idx="36">
                  <c:v>75.425267150084025</c:v>
                </c:pt>
                <c:pt idx="37">
                  <c:v>76.301941964538074</c:v>
                </c:pt>
                <c:pt idx="38">
                  <c:v>77.201708249624033</c:v>
                </c:pt>
                <c:pt idx="39">
                  <c:v>78.074607583858437</c:v>
                </c:pt>
                <c:pt idx="40">
                  <c:v>78.975001711193556</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113.72124321998997</c:v>
                </c:pt>
                <c:pt idx="10">
                  <c:v>107.76458718195072</c:v>
                </c:pt>
                <c:pt idx="11">
                  <c:v>98.4841732303519</c:v>
                </c:pt>
                <c:pt idx="12">
                  <c:v>95.352491023753245</c:v>
                </c:pt>
                <c:pt idx="13">
                  <c:v>94.919649967461893</c:v>
                </c:pt>
                <c:pt idx="14">
                  <c:v>95.417503736729643</c:v>
                </c:pt>
                <c:pt idx="15">
                  <c:v>96.059347468913728</c:v>
                </c:pt>
                <c:pt idx="16">
                  <c:v>94.431291717526335</c:v>
                </c:pt>
                <c:pt idx="17">
                  <c:v>94.181019377283647</c:v>
                </c:pt>
                <c:pt idx="18">
                  <c:v>94.618392890226815</c:v>
                </c:pt>
                <c:pt idx="19">
                  <c:v>93.663848789751768</c:v>
                </c:pt>
                <c:pt idx="20">
                  <c:v>92.860784104534616</c:v>
                </c:pt>
                <c:pt idx="21">
                  <c:v>90.018805930502452</c:v>
                </c:pt>
                <c:pt idx="22">
                  <c:v>89.890519125248531</c:v>
                </c:pt>
                <c:pt idx="23">
                  <c:v>89.703397536551293</c:v>
                </c:pt>
                <c:pt idx="24">
                  <c:v>89.061169010269779</c:v>
                </c:pt>
                <c:pt idx="25">
                  <c:v>82.946593849088401</c:v>
                </c:pt>
                <c:pt idx="26">
                  <c:v>75.016350094586969</c:v>
                </c:pt>
                <c:pt idx="27">
                  <c:v>73.855032983271357</c:v>
                </c:pt>
                <c:pt idx="28">
                  <c:v>73.815174395731944</c:v>
                </c:pt>
                <c:pt idx="29">
                  <c:v>73.796331939100853</c:v>
                </c:pt>
                <c:pt idx="30">
                  <c:v>73.790194967974287</c:v>
                </c:pt>
                <c:pt idx="31">
                  <c:v>73.941496439318925</c:v>
                </c:pt>
                <c:pt idx="32">
                  <c:v>74.009549575405472</c:v>
                </c:pt>
                <c:pt idx="33">
                  <c:v>74.079894480752344</c:v>
                </c:pt>
                <c:pt idx="34">
                  <c:v>74.172397046004178</c:v>
                </c:pt>
                <c:pt idx="35">
                  <c:v>74.294195412452794</c:v>
                </c:pt>
                <c:pt idx="36">
                  <c:v>75.425267150084025</c:v>
                </c:pt>
                <c:pt idx="37">
                  <c:v>76.301941964538074</c:v>
                </c:pt>
                <c:pt idx="38">
                  <c:v>77.201708249624033</c:v>
                </c:pt>
                <c:pt idx="39">
                  <c:v>78.074607583858437</c:v>
                </c:pt>
                <c:pt idx="40">
                  <c:v>78.975001711193556</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21927.187257565794</c:v>
                </c:pt>
                <c:pt idx="10">
                  <c:v>21606.268508837569</c:v>
                </c:pt>
                <c:pt idx="11">
                  <c:v>21303.259186884545</c:v>
                </c:pt>
                <c:pt idx="12">
                  <c:v>20987.195043739935</c:v>
                </c:pt>
                <c:pt idx="13">
                  <c:v>20671.272147327039</c:v>
                </c:pt>
                <c:pt idx="14">
                  <c:v>20355.063052867317</c:v>
                </c:pt>
                <c:pt idx="15">
                  <c:v>20035.210370283494</c:v>
                </c:pt>
                <c:pt idx="16">
                  <c:v>19706.629719752429</c:v>
                </c:pt>
                <c:pt idx="17">
                  <c:v>19388.032357509546</c:v>
                </c:pt>
                <c:pt idx="18">
                  <c:v>19017.039288243926</c:v>
                </c:pt>
                <c:pt idx="19">
                  <c:v>18664.429254436356</c:v>
                </c:pt>
                <c:pt idx="20">
                  <c:v>18326.8260322243</c:v>
                </c:pt>
                <c:pt idx="21">
                  <c:v>17987.105793800118</c:v>
                </c:pt>
                <c:pt idx="22">
                  <c:v>17680.263863420914</c:v>
                </c:pt>
                <c:pt idx="23">
                  <c:v>17386.53141090244</c:v>
                </c:pt>
                <c:pt idx="24">
                  <c:v>17108.630402161925</c:v>
                </c:pt>
                <c:pt idx="25">
                  <c:v>16840.369470868576</c:v>
                </c:pt>
                <c:pt idx="26">
                  <c:v>16587.038452937049</c:v>
                </c:pt>
                <c:pt idx="27">
                  <c:v>16382.868942616344</c:v>
                </c:pt>
                <c:pt idx="28">
                  <c:v>16196.784524045621</c:v>
                </c:pt>
                <c:pt idx="29">
                  <c:v>16027.561601353453</c:v>
                </c:pt>
                <c:pt idx="30">
                  <c:v>15874.488327232009</c:v>
                </c:pt>
                <c:pt idx="31">
                  <c:v>15732.229939819681</c:v>
                </c:pt>
                <c:pt idx="32">
                  <c:v>15600.169000238566</c:v>
                </c:pt>
                <c:pt idx="33">
                  <c:v>15479.362491499836</c:v>
                </c:pt>
                <c:pt idx="34">
                  <c:v>15369.910015499416</c:v>
                </c:pt>
                <c:pt idx="35">
                  <c:v>15271.723162527553</c:v>
                </c:pt>
                <c:pt idx="36">
                  <c:v>15179.44626696277</c:v>
                </c:pt>
                <c:pt idx="37">
                  <c:v>15083.527678177799</c:v>
                </c:pt>
                <c:pt idx="38">
                  <c:v>14994.298817901577</c:v>
                </c:pt>
                <c:pt idx="39">
                  <c:v>14911.018006842978</c:v>
                </c:pt>
                <c:pt idx="40">
                  <c:v>14834.445046053688</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22036.363493759898</c:v>
                </c:pt>
                <c:pt idx="10">
                  <c:v>21840.242908759446</c:v>
                </c:pt>
                <c:pt idx="11">
                  <c:v>21731.056186946262</c:v>
                </c:pt>
                <c:pt idx="12">
                  <c:v>21385.589185142089</c:v>
                </c:pt>
                <c:pt idx="13">
                  <c:v>20938.450257987919</c:v>
                </c:pt>
                <c:pt idx="14">
                  <c:v>20517.842845988001</c:v>
                </c:pt>
                <c:pt idx="15">
                  <c:v>20120.622649806784</c:v>
                </c:pt>
                <c:pt idx="16">
                  <c:v>19737.607789673471</c:v>
                </c:pt>
                <c:pt idx="17">
                  <c:v>19374.72653011472</c:v>
                </c:pt>
                <c:pt idx="18">
                  <c:v>19031.947592247467</c:v>
                </c:pt>
                <c:pt idx="19">
                  <c:v>18708.805342324784</c:v>
                </c:pt>
                <c:pt idx="20">
                  <c:v>18401.082223367659</c:v>
                </c:pt>
                <c:pt idx="21">
                  <c:v>17992.823659076959</c:v>
                </c:pt>
                <c:pt idx="22">
                  <c:v>17612.784770061582</c:v>
                </c:pt>
                <c:pt idx="23">
                  <c:v>17256.217878097137</c:v>
                </c:pt>
                <c:pt idx="24">
                  <c:v>16923.658026727742</c:v>
                </c:pt>
                <c:pt idx="25">
                  <c:v>16608.629400805581</c:v>
                </c:pt>
                <c:pt idx="26">
                  <c:v>16305.675695247708</c:v>
                </c:pt>
                <c:pt idx="27">
                  <c:v>16021.890694772401</c:v>
                </c:pt>
                <c:pt idx="28">
                  <c:v>15758.920295251108</c:v>
                </c:pt>
                <c:pt idx="29">
                  <c:v>15520.654317547986</c:v>
                </c:pt>
                <c:pt idx="30">
                  <c:v>15305.939387125749</c:v>
                </c:pt>
                <c:pt idx="31">
                  <c:v>15108.621873267497</c:v>
                </c:pt>
                <c:pt idx="32">
                  <c:v>14930.821165490406</c:v>
                </c:pt>
                <c:pt idx="33">
                  <c:v>14772.929706639337</c:v>
                </c:pt>
                <c:pt idx="34">
                  <c:v>14634.39281689219</c:v>
                </c:pt>
                <c:pt idx="35">
                  <c:v>14514.503631812517</c:v>
                </c:pt>
                <c:pt idx="36">
                  <c:v>14407.151732786206</c:v>
                </c:pt>
                <c:pt idx="37">
                  <c:v>14305.003969173951</c:v>
                </c:pt>
                <c:pt idx="38">
                  <c:v>14211.750975398802</c:v>
                </c:pt>
                <c:pt idx="39">
                  <c:v>14126.220907729061</c:v>
                </c:pt>
                <c:pt idx="40">
                  <c:v>14048.838482797415</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21887.22278896585</c:v>
                </c:pt>
                <c:pt idx="10">
                  <c:v>21596.100929768359</c:v>
                </c:pt>
                <c:pt idx="11">
                  <c:v>21333.772251821072</c:v>
                </c:pt>
                <c:pt idx="12">
                  <c:v>20842.995125112568</c:v>
                </c:pt>
                <c:pt idx="13">
                  <c:v>20393.03506713585</c:v>
                </c:pt>
                <c:pt idx="14">
                  <c:v>19969.400869056153</c:v>
                </c:pt>
                <c:pt idx="15">
                  <c:v>19569.528809112329</c:v>
                </c:pt>
                <c:pt idx="16">
                  <c:v>19184.08682571898</c:v>
                </c:pt>
                <c:pt idx="17">
                  <c:v>18818.984426288262</c:v>
                </c:pt>
                <c:pt idx="18">
                  <c:v>18473.629405613861</c:v>
                </c:pt>
                <c:pt idx="19">
                  <c:v>18147.190002474686</c:v>
                </c:pt>
                <c:pt idx="20">
                  <c:v>17836.578727787557</c:v>
                </c:pt>
                <c:pt idx="21">
                  <c:v>17430.330030458048</c:v>
                </c:pt>
                <c:pt idx="22">
                  <c:v>17045.021781760493</c:v>
                </c:pt>
                <c:pt idx="23">
                  <c:v>16683.358483794549</c:v>
                </c:pt>
                <c:pt idx="24">
                  <c:v>16344.511052239122</c:v>
                </c:pt>
                <c:pt idx="25">
                  <c:v>16024.154230439461</c:v>
                </c:pt>
                <c:pt idx="26">
                  <c:v>15715.901854877542</c:v>
                </c:pt>
                <c:pt idx="27">
                  <c:v>15426.347034418694</c:v>
                </c:pt>
                <c:pt idx="28">
                  <c:v>15157.7766268412</c:v>
                </c:pt>
                <c:pt idx="29">
                  <c:v>14913.785122201398</c:v>
                </c:pt>
                <c:pt idx="30">
                  <c:v>14693.269234252464</c:v>
                </c:pt>
                <c:pt idx="31">
                  <c:v>14489.541163533986</c:v>
                </c:pt>
                <c:pt idx="32">
                  <c:v>14305.829980840806</c:v>
                </c:pt>
                <c:pt idx="33">
                  <c:v>14142.014562284501</c:v>
                </c:pt>
                <c:pt idx="34">
                  <c:v>13997.421064813025</c:v>
                </c:pt>
                <c:pt idx="35">
                  <c:v>13871.299890790318</c:v>
                </c:pt>
                <c:pt idx="36">
                  <c:v>13756.999431971955</c:v>
                </c:pt>
                <c:pt idx="37">
                  <c:v>13649.430771717416</c:v>
                </c:pt>
                <c:pt idx="38">
                  <c:v>13550.618183487019</c:v>
                </c:pt>
                <c:pt idx="39">
                  <c:v>13459.689962574757</c:v>
                </c:pt>
                <c:pt idx="40">
                  <c:v>13376.744456212266</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21927.187257565794</c:v>
                </c:pt>
                <c:pt idx="10">
                  <c:v>21606.268508837569</c:v>
                </c:pt>
                <c:pt idx="11">
                  <c:v>21303.259186884545</c:v>
                </c:pt>
                <c:pt idx="12">
                  <c:v>20987.195043739935</c:v>
                </c:pt>
                <c:pt idx="13">
                  <c:v>20671.272147327039</c:v>
                </c:pt>
                <c:pt idx="14">
                  <c:v>20355.063052867317</c:v>
                </c:pt>
                <c:pt idx="15">
                  <c:v>20035.210370283494</c:v>
                </c:pt>
                <c:pt idx="16">
                  <c:v>19706.629719752429</c:v>
                </c:pt>
                <c:pt idx="17">
                  <c:v>19388.032357509546</c:v>
                </c:pt>
                <c:pt idx="18">
                  <c:v>19017.039288243926</c:v>
                </c:pt>
                <c:pt idx="19">
                  <c:v>18664.429254436356</c:v>
                </c:pt>
                <c:pt idx="20">
                  <c:v>18326.8260322243</c:v>
                </c:pt>
                <c:pt idx="21">
                  <c:v>17987.105793800118</c:v>
                </c:pt>
                <c:pt idx="22">
                  <c:v>17680.263863420914</c:v>
                </c:pt>
                <c:pt idx="23">
                  <c:v>17386.53141090244</c:v>
                </c:pt>
                <c:pt idx="24">
                  <c:v>17108.630402161925</c:v>
                </c:pt>
                <c:pt idx="25">
                  <c:v>16840.369470868576</c:v>
                </c:pt>
                <c:pt idx="26">
                  <c:v>16587.038452937049</c:v>
                </c:pt>
                <c:pt idx="27">
                  <c:v>16382.868942616344</c:v>
                </c:pt>
                <c:pt idx="28">
                  <c:v>16196.784524045621</c:v>
                </c:pt>
                <c:pt idx="29">
                  <c:v>16027.561601353453</c:v>
                </c:pt>
                <c:pt idx="30">
                  <c:v>15874.488327232009</c:v>
                </c:pt>
                <c:pt idx="31">
                  <c:v>15732.229939819681</c:v>
                </c:pt>
                <c:pt idx="32">
                  <c:v>15600.169000238566</c:v>
                </c:pt>
                <c:pt idx="33">
                  <c:v>15479.362491499836</c:v>
                </c:pt>
                <c:pt idx="34">
                  <c:v>15369.910015499416</c:v>
                </c:pt>
                <c:pt idx="35">
                  <c:v>15271.723162527553</c:v>
                </c:pt>
                <c:pt idx="36">
                  <c:v>15179.44626696277</c:v>
                </c:pt>
                <c:pt idx="37">
                  <c:v>15083.527678177799</c:v>
                </c:pt>
                <c:pt idx="38">
                  <c:v>14994.298817901577</c:v>
                </c:pt>
                <c:pt idx="39">
                  <c:v>14911.018006842978</c:v>
                </c:pt>
                <c:pt idx="40">
                  <c:v>14834.445046053688</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22036.363493759898</c:v>
                </c:pt>
                <c:pt idx="10">
                  <c:v>21840.242908759446</c:v>
                </c:pt>
                <c:pt idx="11">
                  <c:v>21731.056186946262</c:v>
                </c:pt>
                <c:pt idx="12">
                  <c:v>21385.589185142089</c:v>
                </c:pt>
                <c:pt idx="13">
                  <c:v>20938.450257987919</c:v>
                </c:pt>
                <c:pt idx="14">
                  <c:v>20517.842845988001</c:v>
                </c:pt>
                <c:pt idx="15">
                  <c:v>20120.622649806784</c:v>
                </c:pt>
                <c:pt idx="16">
                  <c:v>19737.607789673471</c:v>
                </c:pt>
                <c:pt idx="17">
                  <c:v>19374.72653011472</c:v>
                </c:pt>
                <c:pt idx="18">
                  <c:v>19031.947592247467</c:v>
                </c:pt>
                <c:pt idx="19">
                  <c:v>18708.805342324784</c:v>
                </c:pt>
                <c:pt idx="20">
                  <c:v>18401.082223367659</c:v>
                </c:pt>
                <c:pt idx="21">
                  <c:v>17992.823659076959</c:v>
                </c:pt>
                <c:pt idx="22">
                  <c:v>17612.784770061582</c:v>
                </c:pt>
                <c:pt idx="23">
                  <c:v>17256.217878097137</c:v>
                </c:pt>
                <c:pt idx="24">
                  <c:v>16923.658026727742</c:v>
                </c:pt>
                <c:pt idx="25">
                  <c:v>16608.629400805581</c:v>
                </c:pt>
                <c:pt idx="26">
                  <c:v>16305.675695247708</c:v>
                </c:pt>
                <c:pt idx="27">
                  <c:v>16021.890694772401</c:v>
                </c:pt>
                <c:pt idx="28">
                  <c:v>15758.920295251108</c:v>
                </c:pt>
                <c:pt idx="29">
                  <c:v>15520.654317547986</c:v>
                </c:pt>
                <c:pt idx="30">
                  <c:v>15305.939387125749</c:v>
                </c:pt>
                <c:pt idx="31">
                  <c:v>15108.621873267497</c:v>
                </c:pt>
                <c:pt idx="32">
                  <c:v>14930.821165490406</c:v>
                </c:pt>
                <c:pt idx="33">
                  <c:v>14772.929706639337</c:v>
                </c:pt>
                <c:pt idx="34">
                  <c:v>14634.39281689219</c:v>
                </c:pt>
                <c:pt idx="35">
                  <c:v>14514.503631812517</c:v>
                </c:pt>
                <c:pt idx="36">
                  <c:v>14407.151732786206</c:v>
                </c:pt>
                <c:pt idx="37">
                  <c:v>14305.003969173951</c:v>
                </c:pt>
                <c:pt idx="38">
                  <c:v>14211.750975398802</c:v>
                </c:pt>
                <c:pt idx="39">
                  <c:v>14126.220907729061</c:v>
                </c:pt>
                <c:pt idx="40">
                  <c:v>14048.838482797415</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21887.22278896585</c:v>
                </c:pt>
                <c:pt idx="10">
                  <c:v>21596.100929768359</c:v>
                </c:pt>
                <c:pt idx="11">
                  <c:v>21333.772251821072</c:v>
                </c:pt>
                <c:pt idx="12">
                  <c:v>20842.995125112568</c:v>
                </c:pt>
                <c:pt idx="13">
                  <c:v>20393.03506713585</c:v>
                </c:pt>
                <c:pt idx="14">
                  <c:v>19969.400869056153</c:v>
                </c:pt>
                <c:pt idx="15">
                  <c:v>19569.528809112329</c:v>
                </c:pt>
                <c:pt idx="16">
                  <c:v>19184.08682571898</c:v>
                </c:pt>
                <c:pt idx="17">
                  <c:v>18818.984426288262</c:v>
                </c:pt>
                <c:pt idx="18">
                  <c:v>18473.629405613861</c:v>
                </c:pt>
                <c:pt idx="19">
                  <c:v>18147.190002474686</c:v>
                </c:pt>
                <c:pt idx="20">
                  <c:v>17836.578727787557</c:v>
                </c:pt>
                <c:pt idx="21">
                  <c:v>17430.330030458048</c:v>
                </c:pt>
                <c:pt idx="22">
                  <c:v>17045.021781760493</c:v>
                </c:pt>
                <c:pt idx="23">
                  <c:v>16683.358483794549</c:v>
                </c:pt>
                <c:pt idx="24">
                  <c:v>16344.511052239122</c:v>
                </c:pt>
                <c:pt idx="25">
                  <c:v>16024.154230439461</c:v>
                </c:pt>
                <c:pt idx="26">
                  <c:v>15715.901854877542</c:v>
                </c:pt>
                <c:pt idx="27">
                  <c:v>15426.347034418694</c:v>
                </c:pt>
                <c:pt idx="28">
                  <c:v>15157.7766268412</c:v>
                </c:pt>
                <c:pt idx="29">
                  <c:v>14913.785122201398</c:v>
                </c:pt>
                <c:pt idx="30">
                  <c:v>14693.269234252464</c:v>
                </c:pt>
                <c:pt idx="31">
                  <c:v>14489.541163533986</c:v>
                </c:pt>
                <c:pt idx="32">
                  <c:v>14305.829980840806</c:v>
                </c:pt>
                <c:pt idx="33">
                  <c:v>14142.014562284501</c:v>
                </c:pt>
                <c:pt idx="34">
                  <c:v>13997.421064813025</c:v>
                </c:pt>
                <c:pt idx="35">
                  <c:v>13871.299890790318</c:v>
                </c:pt>
                <c:pt idx="36">
                  <c:v>13756.999431971955</c:v>
                </c:pt>
                <c:pt idx="37">
                  <c:v>13649.430771717416</c:v>
                </c:pt>
                <c:pt idx="38">
                  <c:v>13550.618183487019</c:v>
                </c:pt>
                <c:pt idx="39">
                  <c:v>13459.689962574757</c:v>
                </c:pt>
                <c:pt idx="40">
                  <c:v>13376.744456212266</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0.36159603217363262</c:v>
                </c:pt>
                <c:pt idx="10">
                  <c:v>0.36863586907576812</c:v>
                </c:pt>
                <c:pt idx="11">
                  <c:v>0.38953362391609891</c:v>
                </c:pt>
                <c:pt idx="12">
                  <c:v>0.40987582678627849</c:v>
                </c:pt>
                <c:pt idx="13">
                  <c:v>0.43001822850288007</c:v>
                </c:pt>
                <c:pt idx="14">
                  <c:v>0.45113726754885164</c:v>
                </c:pt>
                <c:pt idx="15">
                  <c:v>0.47228688329680357</c:v>
                </c:pt>
                <c:pt idx="16">
                  <c:v>0.49176785130335549</c:v>
                </c:pt>
                <c:pt idx="17">
                  <c:v>0.5084457193235622</c:v>
                </c:pt>
                <c:pt idx="18">
                  <c:v>0.51854306080356949</c:v>
                </c:pt>
                <c:pt idx="19">
                  <c:v>0.53536333799878499</c:v>
                </c:pt>
                <c:pt idx="20">
                  <c:v>0.55167672007344637</c:v>
                </c:pt>
                <c:pt idx="21">
                  <c:v>0.55968550492284308</c:v>
                </c:pt>
                <c:pt idx="22">
                  <c:v>0.56787133444026949</c:v>
                </c:pt>
                <c:pt idx="23">
                  <c:v>0.57798266679060006</c:v>
                </c:pt>
                <c:pt idx="24">
                  <c:v>0.59193024863410437</c:v>
                </c:pt>
                <c:pt idx="25">
                  <c:v>0.61696376678633957</c:v>
                </c:pt>
                <c:pt idx="26">
                  <c:v>0.62210335541681328</c:v>
                </c:pt>
                <c:pt idx="27">
                  <c:v>0.63183477186118775</c:v>
                </c:pt>
                <c:pt idx="28">
                  <c:v>0.64215449406282188</c:v>
                </c:pt>
                <c:pt idx="29">
                  <c:v>0.65247557244495846</c:v>
                </c:pt>
                <c:pt idx="30">
                  <c:v>0.66275226620254524</c:v>
                </c:pt>
                <c:pt idx="31">
                  <c:v>0.67733382693345867</c:v>
                </c:pt>
                <c:pt idx="32">
                  <c:v>0.69130188394546743</c:v>
                </c:pt>
                <c:pt idx="33">
                  <c:v>0.70499831456786133</c:v>
                </c:pt>
                <c:pt idx="34">
                  <c:v>0.71848332404179704</c:v>
                </c:pt>
                <c:pt idx="35">
                  <c:v>0.73176336343185666</c:v>
                </c:pt>
                <c:pt idx="36">
                  <c:v>0.74657885237874222</c:v>
                </c:pt>
                <c:pt idx="37">
                  <c:v>0.76008877750354209</c:v>
                </c:pt>
                <c:pt idx="38">
                  <c:v>0.77172104263881147</c:v>
                </c:pt>
                <c:pt idx="39">
                  <c:v>0.78277317764568066</c:v>
                </c:pt>
                <c:pt idx="40">
                  <c:v>0.79341053581755405</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0.36159603217363262</c:v>
                </c:pt>
                <c:pt idx="10">
                  <c:v>0.36863586907576812</c:v>
                </c:pt>
                <c:pt idx="11">
                  <c:v>0.38953362391609891</c:v>
                </c:pt>
                <c:pt idx="12">
                  <c:v>0.40987582678627849</c:v>
                </c:pt>
                <c:pt idx="13">
                  <c:v>0.43001822850288007</c:v>
                </c:pt>
                <c:pt idx="14">
                  <c:v>0.45113726754885164</c:v>
                </c:pt>
                <c:pt idx="15">
                  <c:v>0.47228688329680357</c:v>
                </c:pt>
                <c:pt idx="16">
                  <c:v>0.49176785130335549</c:v>
                </c:pt>
                <c:pt idx="17">
                  <c:v>0.5084457193235622</c:v>
                </c:pt>
                <c:pt idx="18">
                  <c:v>0.51854306080356949</c:v>
                </c:pt>
                <c:pt idx="19">
                  <c:v>0.53536333799878499</c:v>
                </c:pt>
                <c:pt idx="20">
                  <c:v>0.55167672007344637</c:v>
                </c:pt>
                <c:pt idx="21">
                  <c:v>0.55968550492284308</c:v>
                </c:pt>
                <c:pt idx="22">
                  <c:v>0.56787133444026949</c:v>
                </c:pt>
                <c:pt idx="23">
                  <c:v>0.57798266679060006</c:v>
                </c:pt>
                <c:pt idx="24">
                  <c:v>0.59193024863410437</c:v>
                </c:pt>
                <c:pt idx="25">
                  <c:v>0.61696376678633957</c:v>
                </c:pt>
                <c:pt idx="26">
                  <c:v>0.62210335541681328</c:v>
                </c:pt>
                <c:pt idx="27">
                  <c:v>0.63183477186118775</c:v>
                </c:pt>
                <c:pt idx="28">
                  <c:v>0.64215449406282188</c:v>
                </c:pt>
                <c:pt idx="29">
                  <c:v>0.65247557244495846</c:v>
                </c:pt>
                <c:pt idx="30">
                  <c:v>0.66275226620254524</c:v>
                </c:pt>
                <c:pt idx="31">
                  <c:v>0.67733382693345867</c:v>
                </c:pt>
                <c:pt idx="32">
                  <c:v>0.69130188394546743</c:v>
                </c:pt>
                <c:pt idx="33">
                  <c:v>0.70499831456786133</c:v>
                </c:pt>
                <c:pt idx="34">
                  <c:v>0.71848332404179704</c:v>
                </c:pt>
                <c:pt idx="35">
                  <c:v>0.73176336343185666</c:v>
                </c:pt>
                <c:pt idx="36">
                  <c:v>0.74657885237874222</c:v>
                </c:pt>
                <c:pt idx="37">
                  <c:v>0.76008877750354209</c:v>
                </c:pt>
                <c:pt idx="38">
                  <c:v>0.77172104263881147</c:v>
                </c:pt>
                <c:pt idx="39">
                  <c:v>0.78277317764568066</c:v>
                </c:pt>
                <c:pt idx="40">
                  <c:v>0.79341053581755405</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0.3771653699625368</c:v>
                </c:pt>
                <c:pt idx="10">
                  <c:v>0.4018180652136023</c:v>
                </c:pt>
                <c:pt idx="11">
                  <c:v>0.47474371574170848</c:v>
                </c:pt>
                <c:pt idx="12">
                  <c:v>0.51467713390821135</c:v>
                </c:pt>
                <c:pt idx="13">
                  <c:v>0.53527295402560937</c:v>
                </c:pt>
                <c:pt idx="14">
                  <c:v>0.55294258122958317</c:v>
                </c:pt>
                <c:pt idx="15">
                  <c:v>0.56964880017415198</c:v>
                </c:pt>
                <c:pt idx="16">
                  <c:v>0.59299438334623022</c:v>
                </c:pt>
                <c:pt idx="17">
                  <c:v>0.61161661178772531</c:v>
                </c:pt>
                <c:pt idx="18">
                  <c:v>0.62849653314558029</c:v>
                </c:pt>
                <c:pt idx="19">
                  <c:v>0.6502037763794668</c:v>
                </c:pt>
                <c:pt idx="20">
                  <c:v>0.67077439829901286</c:v>
                </c:pt>
                <c:pt idx="21">
                  <c:v>0.67827419369986763</c:v>
                </c:pt>
                <c:pt idx="22">
                  <c:v>0.68571733008279778</c:v>
                </c:pt>
                <c:pt idx="23">
                  <c:v>0.69258951948403003</c:v>
                </c:pt>
                <c:pt idx="24">
                  <c:v>0.70235814785513706</c:v>
                </c:pt>
                <c:pt idx="25">
                  <c:v>0.73171627123143212</c:v>
                </c:pt>
                <c:pt idx="26">
                  <c:v>0.77447188721182603</c:v>
                </c:pt>
                <c:pt idx="27">
                  <c:v>0.78448661759422023</c:v>
                </c:pt>
                <c:pt idx="28">
                  <c:v>0.78437024505850728</c:v>
                </c:pt>
                <c:pt idx="29">
                  <c:v>0.78431518819864565</c:v>
                </c:pt>
                <c:pt idx="30">
                  <c:v>0.78429725015873353</c:v>
                </c:pt>
                <c:pt idx="31">
                  <c:v>0.784738628072296</c:v>
                </c:pt>
                <c:pt idx="32">
                  <c:v>0.78493656484561802</c:v>
                </c:pt>
                <c:pt idx="33">
                  <c:v>0.78514078512826757</c:v>
                </c:pt>
                <c:pt idx="34">
                  <c:v>0.78540874233789215</c:v>
                </c:pt>
                <c:pt idx="35">
                  <c:v>0.78576054458155742</c:v>
                </c:pt>
                <c:pt idx="36">
                  <c:v>0.78897326363798614</c:v>
                </c:pt>
                <c:pt idx="37">
                  <c:v>0.79139786542637847</c:v>
                </c:pt>
                <c:pt idx="38">
                  <c:v>0.79382907027847094</c:v>
                </c:pt>
                <c:pt idx="39">
                  <c:v>0.79613412787481053</c:v>
                </c:pt>
                <c:pt idx="40">
                  <c:v>0.79845840302578586</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0.3771653699625368</c:v>
                </c:pt>
                <c:pt idx="10">
                  <c:v>0.4018180652136023</c:v>
                </c:pt>
                <c:pt idx="11">
                  <c:v>0.47474371574170848</c:v>
                </c:pt>
                <c:pt idx="12">
                  <c:v>0.51467713390821135</c:v>
                </c:pt>
                <c:pt idx="13">
                  <c:v>0.53527295402560937</c:v>
                </c:pt>
                <c:pt idx="14">
                  <c:v>0.55294258122958317</c:v>
                </c:pt>
                <c:pt idx="15">
                  <c:v>0.56964880017415198</c:v>
                </c:pt>
                <c:pt idx="16">
                  <c:v>0.59299438334623022</c:v>
                </c:pt>
                <c:pt idx="17">
                  <c:v>0.61161661178772531</c:v>
                </c:pt>
                <c:pt idx="18">
                  <c:v>0.62849653314558029</c:v>
                </c:pt>
                <c:pt idx="19">
                  <c:v>0.6502037763794668</c:v>
                </c:pt>
                <c:pt idx="20">
                  <c:v>0.67077439829901286</c:v>
                </c:pt>
                <c:pt idx="21">
                  <c:v>0.67827419369986763</c:v>
                </c:pt>
                <c:pt idx="22">
                  <c:v>0.68571733008279778</c:v>
                </c:pt>
                <c:pt idx="23">
                  <c:v>0.69258951948403003</c:v>
                </c:pt>
                <c:pt idx="24">
                  <c:v>0.70235814785513706</c:v>
                </c:pt>
                <c:pt idx="25">
                  <c:v>0.73171627123143212</c:v>
                </c:pt>
                <c:pt idx="26">
                  <c:v>0.77447188721182603</c:v>
                </c:pt>
                <c:pt idx="27">
                  <c:v>0.78448661759422023</c:v>
                </c:pt>
                <c:pt idx="28">
                  <c:v>0.78437024505850728</c:v>
                </c:pt>
                <c:pt idx="29">
                  <c:v>0.78431518819864565</c:v>
                </c:pt>
                <c:pt idx="30">
                  <c:v>0.78429725015873353</c:v>
                </c:pt>
                <c:pt idx="31">
                  <c:v>0.784738628072296</c:v>
                </c:pt>
                <c:pt idx="32">
                  <c:v>0.78493656484561802</c:v>
                </c:pt>
                <c:pt idx="33">
                  <c:v>0.78514078512826757</c:v>
                </c:pt>
                <c:pt idx="34">
                  <c:v>0.78540874233789215</c:v>
                </c:pt>
                <c:pt idx="35">
                  <c:v>0.78576054458155742</c:v>
                </c:pt>
                <c:pt idx="36">
                  <c:v>0.78897326363798614</c:v>
                </c:pt>
                <c:pt idx="37">
                  <c:v>0.79139786542637847</c:v>
                </c:pt>
                <c:pt idx="38">
                  <c:v>0.79382907027847094</c:v>
                </c:pt>
                <c:pt idx="39">
                  <c:v>0.79613412787481053</c:v>
                </c:pt>
                <c:pt idx="40">
                  <c:v>0.79845840302578586</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0.3771653699625368</c:v>
                </c:pt>
                <c:pt idx="10">
                  <c:v>0.4018180652136023</c:v>
                </c:pt>
                <c:pt idx="11">
                  <c:v>0.47474371574170848</c:v>
                </c:pt>
                <c:pt idx="12">
                  <c:v>0.51467713390821135</c:v>
                </c:pt>
                <c:pt idx="13">
                  <c:v>0.53527295402560937</c:v>
                </c:pt>
                <c:pt idx="14">
                  <c:v>0.55294258122958317</c:v>
                </c:pt>
                <c:pt idx="15">
                  <c:v>0.56964880017415198</c:v>
                </c:pt>
                <c:pt idx="16">
                  <c:v>0.59299438334623022</c:v>
                </c:pt>
                <c:pt idx="17">
                  <c:v>0.61161661178772531</c:v>
                </c:pt>
                <c:pt idx="18">
                  <c:v>0.62849653314558029</c:v>
                </c:pt>
                <c:pt idx="19">
                  <c:v>0.6502037763794668</c:v>
                </c:pt>
                <c:pt idx="20">
                  <c:v>0.67077439829901286</c:v>
                </c:pt>
                <c:pt idx="21">
                  <c:v>0.67827419369986763</c:v>
                </c:pt>
                <c:pt idx="22">
                  <c:v>0.68571733008279778</c:v>
                </c:pt>
                <c:pt idx="23">
                  <c:v>0.69258951948403003</c:v>
                </c:pt>
                <c:pt idx="24">
                  <c:v>0.70235814785513706</c:v>
                </c:pt>
                <c:pt idx="25">
                  <c:v>0.73171627123143212</c:v>
                </c:pt>
                <c:pt idx="26">
                  <c:v>0.77447188721182603</c:v>
                </c:pt>
                <c:pt idx="27">
                  <c:v>0.78448661759422023</c:v>
                </c:pt>
                <c:pt idx="28">
                  <c:v>0.78437024505850728</c:v>
                </c:pt>
                <c:pt idx="29">
                  <c:v>0.78431518819864565</c:v>
                </c:pt>
                <c:pt idx="30">
                  <c:v>0.78429725015873353</c:v>
                </c:pt>
                <c:pt idx="31">
                  <c:v>0.784738628072296</c:v>
                </c:pt>
                <c:pt idx="32">
                  <c:v>0.78493656484561802</c:v>
                </c:pt>
                <c:pt idx="33">
                  <c:v>0.78514078512826757</c:v>
                </c:pt>
                <c:pt idx="34">
                  <c:v>0.78540874233789215</c:v>
                </c:pt>
                <c:pt idx="35">
                  <c:v>0.78576054458155742</c:v>
                </c:pt>
                <c:pt idx="36">
                  <c:v>0.78897326363798614</c:v>
                </c:pt>
                <c:pt idx="37">
                  <c:v>0.79139786542637847</c:v>
                </c:pt>
                <c:pt idx="38">
                  <c:v>0.79382907027847094</c:v>
                </c:pt>
                <c:pt idx="39">
                  <c:v>0.79613412787481053</c:v>
                </c:pt>
                <c:pt idx="40">
                  <c:v>0.79845840302578586</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0.3771653699625368</c:v>
                </c:pt>
                <c:pt idx="10">
                  <c:v>0.4018180652136023</c:v>
                </c:pt>
                <c:pt idx="11">
                  <c:v>0.47474371574170848</c:v>
                </c:pt>
                <c:pt idx="12">
                  <c:v>0.51467713390821135</c:v>
                </c:pt>
                <c:pt idx="13">
                  <c:v>0.53527295402560937</c:v>
                </c:pt>
                <c:pt idx="14">
                  <c:v>0.55294258122958317</c:v>
                </c:pt>
                <c:pt idx="15">
                  <c:v>0.56964880017415198</c:v>
                </c:pt>
                <c:pt idx="16">
                  <c:v>0.59299438334623022</c:v>
                </c:pt>
                <c:pt idx="17">
                  <c:v>0.61161661178772531</c:v>
                </c:pt>
                <c:pt idx="18">
                  <c:v>0.62849653314558029</c:v>
                </c:pt>
                <c:pt idx="19">
                  <c:v>0.6502037763794668</c:v>
                </c:pt>
                <c:pt idx="20">
                  <c:v>0.67077439829901286</c:v>
                </c:pt>
                <c:pt idx="21">
                  <c:v>0.67827419369986763</c:v>
                </c:pt>
                <c:pt idx="22">
                  <c:v>0.68571733008279778</c:v>
                </c:pt>
                <c:pt idx="23">
                  <c:v>0.69258951948403003</c:v>
                </c:pt>
                <c:pt idx="24">
                  <c:v>0.70235814785513706</c:v>
                </c:pt>
                <c:pt idx="25">
                  <c:v>0.73171627123143212</c:v>
                </c:pt>
                <c:pt idx="26">
                  <c:v>0.77447188721182603</c:v>
                </c:pt>
                <c:pt idx="27">
                  <c:v>0.78448661759422023</c:v>
                </c:pt>
                <c:pt idx="28">
                  <c:v>0.78437024505850728</c:v>
                </c:pt>
                <c:pt idx="29">
                  <c:v>0.78431518819864565</c:v>
                </c:pt>
                <c:pt idx="30">
                  <c:v>0.78429725015873353</c:v>
                </c:pt>
                <c:pt idx="31">
                  <c:v>0.784738628072296</c:v>
                </c:pt>
                <c:pt idx="32">
                  <c:v>0.78493656484561802</c:v>
                </c:pt>
                <c:pt idx="33">
                  <c:v>0.78514078512826757</c:v>
                </c:pt>
                <c:pt idx="34">
                  <c:v>0.78540874233789215</c:v>
                </c:pt>
                <c:pt idx="35">
                  <c:v>0.78576054458155742</c:v>
                </c:pt>
                <c:pt idx="36">
                  <c:v>0.78897326363798614</c:v>
                </c:pt>
                <c:pt idx="37">
                  <c:v>0.79139786542637847</c:v>
                </c:pt>
                <c:pt idx="38">
                  <c:v>0.79382907027847094</c:v>
                </c:pt>
                <c:pt idx="39">
                  <c:v>0.79613412787481053</c:v>
                </c:pt>
                <c:pt idx="40">
                  <c:v>0.79845840302578586</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21927.187257565794</c:v>
                </c:pt>
                <c:pt idx="10">
                  <c:v>21606.268508837569</c:v>
                </c:pt>
                <c:pt idx="11">
                  <c:v>21303.259186884545</c:v>
                </c:pt>
                <c:pt idx="12">
                  <c:v>20987.195043739935</c:v>
                </c:pt>
                <c:pt idx="13">
                  <c:v>20671.272147327039</c:v>
                </c:pt>
                <c:pt idx="14">
                  <c:v>20355.063052867317</c:v>
                </c:pt>
                <c:pt idx="15">
                  <c:v>20035.210370283494</c:v>
                </c:pt>
                <c:pt idx="16">
                  <c:v>19706.629719752429</c:v>
                </c:pt>
                <c:pt idx="17">
                  <c:v>19388.032357509546</c:v>
                </c:pt>
                <c:pt idx="18">
                  <c:v>19017.039288243926</c:v>
                </c:pt>
                <c:pt idx="19">
                  <c:v>18664.429254436356</c:v>
                </c:pt>
                <c:pt idx="20">
                  <c:v>18326.8260322243</c:v>
                </c:pt>
                <c:pt idx="21">
                  <c:v>17987.105793800118</c:v>
                </c:pt>
                <c:pt idx="22">
                  <c:v>17680.263863420914</c:v>
                </c:pt>
                <c:pt idx="23">
                  <c:v>17386.53141090244</c:v>
                </c:pt>
                <c:pt idx="24">
                  <c:v>17108.630402161925</c:v>
                </c:pt>
                <c:pt idx="25">
                  <c:v>16840.369470868576</c:v>
                </c:pt>
                <c:pt idx="26">
                  <c:v>16587.038452937049</c:v>
                </c:pt>
                <c:pt idx="27">
                  <c:v>16382.868942616344</c:v>
                </c:pt>
                <c:pt idx="28">
                  <c:v>16196.784524045621</c:v>
                </c:pt>
                <c:pt idx="29">
                  <c:v>16027.561601353453</c:v>
                </c:pt>
                <c:pt idx="30">
                  <c:v>15874.488327232009</c:v>
                </c:pt>
                <c:pt idx="31">
                  <c:v>15732.229939819681</c:v>
                </c:pt>
                <c:pt idx="32">
                  <c:v>15600.169000238566</c:v>
                </c:pt>
                <c:pt idx="33">
                  <c:v>15479.362491499836</c:v>
                </c:pt>
                <c:pt idx="34">
                  <c:v>15369.910015499416</c:v>
                </c:pt>
                <c:pt idx="35">
                  <c:v>15271.723162527553</c:v>
                </c:pt>
                <c:pt idx="36">
                  <c:v>15179.44626696277</c:v>
                </c:pt>
                <c:pt idx="37">
                  <c:v>15083.527678177799</c:v>
                </c:pt>
                <c:pt idx="38">
                  <c:v>14994.298817901577</c:v>
                </c:pt>
                <c:pt idx="39">
                  <c:v>14911.018006842978</c:v>
                </c:pt>
                <c:pt idx="40">
                  <c:v>14834.445046053688</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22036.363493759898</c:v>
                </c:pt>
                <c:pt idx="10">
                  <c:v>21840.242908759446</c:v>
                </c:pt>
                <c:pt idx="11">
                  <c:v>21731.056186946262</c:v>
                </c:pt>
                <c:pt idx="12">
                  <c:v>21385.589185142089</c:v>
                </c:pt>
                <c:pt idx="13">
                  <c:v>20938.450257987919</c:v>
                </c:pt>
                <c:pt idx="14">
                  <c:v>20517.842845988001</c:v>
                </c:pt>
                <c:pt idx="15">
                  <c:v>20120.622649806784</c:v>
                </c:pt>
                <c:pt idx="16">
                  <c:v>19737.607789673471</c:v>
                </c:pt>
                <c:pt idx="17">
                  <c:v>19374.72653011472</c:v>
                </c:pt>
                <c:pt idx="18">
                  <c:v>19031.947592247467</c:v>
                </c:pt>
                <c:pt idx="19">
                  <c:v>18708.805342324784</c:v>
                </c:pt>
                <c:pt idx="20">
                  <c:v>18401.082223367659</c:v>
                </c:pt>
                <c:pt idx="21">
                  <c:v>17992.823659076959</c:v>
                </c:pt>
                <c:pt idx="22">
                  <c:v>17612.784770061582</c:v>
                </c:pt>
                <c:pt idx="23">
                  <c:v>17256.217878097137</c:v>
                </c:pt>
                <c:pt idx="24">
                  <c:v>16923.658026727742</c:v>
                </c:pt>
                <c:pt idx="25">
                  <c:v>16608.629400805581</c:v>
                </c:pt>
                <c:pt idx="26">
                  <c:v>16305.675695247708</c:v>
                </c:pt>
                <c:pt idx="27">
                  <c:v>16021.890694772401</c:v>
                </c:pt>
                <c:pt idx="28">
                  <c:v>15758.920295251108</c:v>
                </c:pt>
                <c:pt idx="29">
                  <c:v>15520.654317547986</c:v>
                </c:pt>
                <c:pt idx="30">
                  <c:v>15305.939387125749</c:v>
                </c:pt>
                <c:pt idx="31">
                  <c:v>15108.621873267497</c:v>
                </c:pt>
                <c:pt idx="32">
                  <c:v>14930.821165490406</c:v>
                </c:pt>
                <c:pt idx="33">
                  <c:v>14772.929706639337</c:v>
                </c:pt>
                <c:pt idx="34">
                  <c:v>14634.39281689219</c:v>
                </c:pt>
                <c:pt idx="35">
                  <c:v>14514.503631812517</c:v>
                </c:pt>
                <c:pt idx="36">
                  <c:v>14407.151732786206</c:v>
                </c:pt>
                <c:pt idx="37">
                  <c:v>14305.003969173951</c:v>
                </c:pt>
                <c:pt idx="38">
                  <c:v>14211.750975398802</c:v>
                </c:pt>
                <c:pt idx="39">
                  <c:v>14126.220907729061</c:v>
                </c:pt>
                <c:pt idx="40">
                  <c:v>14048.838482797415</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21887.22278896585</c:v>
                </c:pt>
                <c:pt idx="10">
                  <c:v>21596.100929768359</c:v>
                </c:pt>
                <c:pt idx="11">
                  <c:v>21333.772251821072</c:v>
                </c:pt>
                <c:pt idx="12">
                  <c:v>20842.995125112568</c:v>
                </c:pt>
                <c:pt idx="13">
                  <c:v>20393.03506713585</c:v>
                </c:pt>
                <c:pt idx="14">
                  <c:v>19969.400869056153</c:v>
                </c:pt>
                <c:pt idx="15">
                  <c:v>19569.528809112329</c:v>
                </c:pt>
                <c:pt idx="16">
                  <c:v>19184.08682571898</c:v>
                </c:pt>
                <c:pt idx="17">
                  <c:v>18818.984426288262</c:v>
                </c:pt>
                <c:pt idx="18">
                  <c:v>18473.629405613861</c:v>
                </c:pt>
                <c:pt idx="19">
                  <c:v>18147.190002474686</c:v>
                </c:pt>
                <c:pt idx="20">
                  <c:v>17836.578727787557</c:v>
                </c:pt>
                <c:pt idx="21">
                  <c:v>17430.330030458048</c:v>
                </c:pt>
                <c:pt idx="22">
                  <c:v>17045.021781760493</c:v>
                </c:pt>
                <c:pt idx="23">
                  <c:v>16683.358483794549</c:v>
                </c:pt>
                <c:pt idx="24">
                  <c:v>16344.511052239122</c:v>
                </c:pt>
                <c:pt idx="25">
                  <c:v>16024.154230439461</c:v>
                </c:pt>
                <c:pt idx="26">
                  <c:v>15715.901854877542</c:v>
                </c:pt>
                <c:pt idx="27">
                  <c:v>15426.347034418694</c:v>
                </c:pt>
                <c:pt idx="28">
                  <c:v>15157.7766268412</c:v>
                </c:pt>
                <c:pt idx="29">
                  <c:v>14913.785122201398</c:v>
                </c:pt>
                <c:pt idx="30">
                  <c:v>14693.269234252464</c:v>
                </c:pt>
                <c:pt idx="31">
                  <c:v>14489.541163533986</c:v>
                </c:pt>
                <c:pt idx="32">
                  <c:v>14305.829980840806</c:v>
                </c:pt>
                <c:pt idx="33">
                  <c:v>14142.014562284501</c:v>
                </c:pt>
                <c:pt idx="34">
                  <c:v>13997.421064813025</c:v>
                </c:pt>
                <c:pt idx="35">
                  <c:v>13871.299890790318</c:v>
                </c:pt>
                <c:pt idx="36">
                  <c:v>13756.999431971955</c:v>
                </c:pt>
                <c:pt idx="37">
                  <c:v>13649.430771717416</c:v>
                </c:pt>
                <c:pt idx="38">
                  <c:v>13550.618183487019</c:v>
                </c:pt>
                <c:pt idx="39">
                  <c:v>13459.689962574757</c:v>
                </c:pt>
                <c:pt idx="40">
                  <c:v>13376.744456212266</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21927.187257565794</c:v>
                </c:pt>
                <c:pt idx="10">
                  <c:v>21606.268508837569</c:v>
                </c:pt>
                <c:pt idx="11">
                  <c:v>21303.259186884545</c:v>
                </c:pt>
                <c:pt idx="12">
                  <c:v>20987.195043739935</c:v>
                </c:pt>
                <c:pt idx="13">
                  <c:v>20671.272147327039</c:v>
                </c:pt>
                <c:pt idx="14">
                  <c:v>20355.063052867317</c:v>
                </c:pt>
                <c:pt idx="15">
                  <c:v>20035.210370283494</c:v>
                </c:pt>
                <c:pt idx="16">
                  <c:v>19706.629719752429</c:v>
                </c:pt>
                <c:pt idx="17">
                  <c:v>19388.032357509546</c:v>
                </c:pt>
                <c:pt idx="18">
                  <c:v>19017.039288243926</c:v>
                </c:pt>
                <c:pt idx="19">
                  <c:v>18664.429254436356</c:v>
                </c:pt>
                <c:pt idx="20">
                  <c:v>18326.8260322243</c:v>
                </c:pt>
                <c:pt idx="21">
                  <c:v>17987.105793800118</c:v>
                </c:pt>
                <c:pt idx="22">
                  <c:v>17680.263863420914</c:v>
                </c:pt>
                <c:pt idx="23">
                  <c:v>17386.53141090244</c:v>
                </c:pt>
                <c:pt idx="24">
                  <c:v>17108.630402161925</c:v>
                </c:pt>
                <c:pt idx="25">
                  <c:v>16840.369470868576</c:v>
                </c:pt>
                <c:pt idx="26">
                  <c:v>16587.038452937049</c:v>
                </c:pt>
                <c:pt idx="27">
                  <c:v>16382.868942616344</c:v>
                </c:pt>
                <c:pt idx="28">
                  <c:v>16196.784524045621</c:v>
                </c:pt>
                <c:pt idx="29">
                  <c:v>16027.561601353453</c:v>
                </c:pt>
                <c:pt idx="30">
                  <c:v>15874.488327232009</c:v>
                </c:pt>
                <c:pt idx="31">
                  <c:v>15732.229939819681</c:v>
                </c:pt>
                <c:pt idx="32">
                  <c:v>15600.169000238566</c:v>
                </c:pt>
                <c:pt idx="33">
                  <c:v>15479.362491499836</c:v>
                </c:pt>
                <c:pt idx="34">
                  <c:v>15369.910015499416</c:v>
                </c:pt>
                <c:pt idx="35">
                  <c:v>15271.723162527553</c:v>
                </c:pt>
                <c:pt idx="36">
                  <c:v>15179.44626696277</c:v>
                </c:pt>
                <c:pt idx="37">
                  <c:v>15083.527678177799</c:v>
                </c:pt>
                <c:pt idx="38">
                  <c:v>14994.298817901577</c:v>
                </c:pt>
                <c:pt idx="39">
                  <c:v>14911.018006842978</c:v>
                </c:pt>
                <c:pt idx="40">
                  <c:v>14834.445046053688</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22036.363493759898</c:v>
                </c:pt>
                <c:pt idx="10">
                  <c:v>21840.242908759446</c:v>
                </c:pt>
                <c:pt idx="11">
                  <c:v>21731.056186946262</c:v>
                </c:pt>
                <c:pt idx="12">
                  <c:v>21385.589185142089</c:v>
                </c:pt>
                <c:pt idx="13">
                  <c:v>20938.450257987919</c:v>
                </c:pt>
                <c:pt idx="14">
                  <c:v>20517.842845988001</c:v>
                </c:pt>
                <c:pt idx="15">
                  <c:v>20120.622649806784</c:v>
                </c:pt>
                <c:pt idx="16">
                  <c:v>19737.607789673471</c:v>
                </c:pt>
                <c:pt idx="17">
                  <c:v>19374.72653011472</c:v>
                </c:pt>
                <c:pt idx="18">
                  <c:v>19031.947592247467</c:v>
                </c:pt>
                <c:pt idx="19">
                  <c:v>18708.805342324784</c:v>
                </c:pt>
                <c:pt idx="20">
                  <c:v>18401.082223367659</c:v>
                </c:pt>
                <c:pt idx="21">
                  <c:v>17992.823659076959</c:v>
                </c:pt>
                <c:pt idx="22">
                  <c:v>17612.784770061582</c:v>
                </c:pt>
                <c:pt idx="23">
                  <c:v>17256.217878097137</c:v>
                </c:pt>
                <c:pt idx="24">
                  <c:v>16923.658026727742</c:v>
                </c:pt>
                <c:pt idx="25">
                  <c:v>16608.629400805581</c:v>
                </c:pt>
                <c:pt idx="26">
                  <c:v>16305.675695247708</c:v>
                </c:pt>
                <c:pt idx="27">
                  <c:v>16021.890694772401</c:v>
                </c:pt>
                <c:pt idx="28">
                  <c:v>15758.920295251108</c:v>
                </c:pt>
                <c:pt idx="29">
                  <c:v>15520.654317547986</c:v>
                </c:pt>
                <c:pt idx="30">
                  <c:v>15305.939387125749</c:v>
                </c:pt>
                <c:pt idx="31">
                  <c:v>15108.621873267497</c:v>
                </c:pt>
                <c:pt idx="32">
                  <c:v>14930.821165490406</c:v>
                </c:pt>
                <c:pt idx="33">
                  <c:v>14772.929706639337</c:v>
                </c:pt>
                <c:pt idx="34">
                  <c:v>14634.39281689219</c:v>
                </c:pt>
                <c:pt idx="35">
                  <c:v>14514.503631812517</c:v>
                </c:pt>
                <c:pt idx="36">
                  <c:v>14407.151732786206</c:v>
                </c:pt>
                <c:pt idx="37">
                  <c:v>14305.003969173951</c:v>
                </c:pt>
                <c:pt idx="38">
                  <c:v>14211.750975398802</c:v>
                </c:pt>
                <c:pt idx="39">
                  <c:v>14126.220907729061</c:v>
                </c:pt>
                <c:pt idx="40">
                  <c:v>14048.838482797415</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21887.22278896585</c:v>
                </c:pt>
                <c:pt idx="10">
                  <c:v>21596.100929768359</c:v>
                </c:pt>
                <c:pt idx="11">
                  <c:v>21333.772251821072</c:v>
                </c:pt>
                <c:pt idx="12">
                  <c:v>20842.995125112568</c:v>
                </c:pt>
                <c:pt idx="13">
                  <c:v>20393.03506713585</c:v>
                </c:pt>
                <c:pt idx="14">
                  <c:v>19969.400869056153</c:v>
                </c:pt>
                <c:pt idx="15">
                  <c:v>19569.528809112329</c:v>
                </c:pt>
                <c:pt idx="16">
                  <c:v>19184.08682571898</c:v>
                </c:pt>
                <c:pt idx="17">
                  <c:v>18818.984426288262</c:v>
                </c:pt>
                <c:pt idx="18">
                  <c:v>18473.629405613861</c:v>
                </c:pt>
                <c:pt idx="19">
                  <c:v>18147.190002474686</c:v>
                </c:pt>
                <c:pt idx="20">
                  <c:v>17836.578727787557</c:v>
                </c:pt>
                <c:pt idx="21">
                  <c:v>17430.330030458048</c:v>
                </c:pt>
                <c:pt idx="22">
                  <c:v>17045.021781760493</c:v>
                </c:pt>
                <c:pt idx="23">
                  <c:v>16683.358483794549</c:v>
                </c:pt>
                <c:pt idx="24">
                  <c:v>16344.511052239122</c:v>
                </c:pt>
                <c:pt idx="25">
                  <c:v>16024.154230439461</c:v>
                </c:pt>
                <c:pt idx="26">
                  <c:v>15715.901854877542</c:v>
                </c:pt>
                <c:pt idx="27">
                  <c:v>15426.347034418694</c:v>
                </c:pt>
                <c:pt idx="28">
                  <c:v>15157.7766268412</c:v>
                </c:pt>
                <c:pt idx="29">
                  <c:v>14913.785122201398</c:v>
                </c:pt>
                <c:pt idx="30">
                  <c:v>14693.269234252464</c:v>
                </c:pt>
                <c:pt idx="31">
                  <c:v>14489.541163533986</c:v>
                </c:pt>
                <c:pt idx="32">
                  <c:v>14305.829980840806</c:v>
                </c:pt>
                <c:pt idx="33">
                  <c:v>14142.014562284501</c:v>
                </c:pt>
                <c:pt idx="34">
                  <c:v>13997.421064813025</c:v>
                </c:pt>
                <c:pt idx="35">
                  <c:v>13871.299890790318</c:v>
                </c:pt>
                <c:pt idx="36">
                  <c:v>13756.999431971955</c:v>
                </c:pt>
                <c:pt idx="37">
                  <c:v>13649.430771717416</c:v>
                </c:pt>
                <c:pt idx="38">
                  <c:v>13550.618183487019</c:v>
                </c:pt>
                <c:pt idx="39">
                  <c:v>13459.689962574757</c:v>
                </c:pt>
                <c:pt idx="40">
                  <c:v>13376.744456212266</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53.709279804327963</c:v>
                </c:pt>
                <c:pt idx="10" formatCode="_(* #,##0_);_(* \(#,##0\);_(* &quot;-&quot;_);_(@_)">
                  <c:v>50.685422165534831</c:v>
                </c:pt>
                <c:pt idx="11" formatCode="_(* #,##0_);_(* \(#,##0\);_(* &quot;-&quot;_);_(@_)">
                  <c:v>50.618072007837</c:v>
                </c:pt>
                <c:pt idx="12" formatCode="_(* #,##0_);_(* \(#,##0\);_(* &quot;-&quot;_);_(@_)">
                  <c:v>50.359792847133136</c:v>
                </c:pt>
                <c:pt idx="13" formatCode="_(* #,##0_);_(* \(#,##0\);_(* &quot;-&quot;_);_(@_)">
                  <c:v>49.695564714711665</c:v>
                </c:pt>
                <c:pt idx="14" formatCode="_(* #,##0_);_(* \(#,##0\);_(* &quot;-&quot;_);_(@_)">
                  <c:v>49.925010483280978</c:v>
                </c:pt>
                <c:pt idx="15" formatCode="_(* #,##0_);_(* \(#,##0\);_(* &quot;-&quot;_);_(@_)">
                  <c:v>50.358140956147174</c:v>
                </c:pt>
                <c:pt idx="16" formatCode="_(* #,##0_);_(* \(#,##0\);_(* &quot;-&quot;_);_(@_)">
                  <c:v>48.568999176537098</c:v>
                </c:pt>
                <c:pt idx="17" formatCode="_(* #,##0_);_(* \(#,##0\);_(* &quot;-&quot;_);_(@_)">
                  <c:v>48.190122249078179</c:v>
                </c:pt>
                <c:pt idx="18" formatCode="_(* #,##0_);_(* \(#,##0\);_(* &quot;-&quot;_);_(@_)">
                  <c:v>48.438037819118328</c:v>
                </c:pt>
                <c:pt idx="19" formatCode="_(* #,##0_);_(* \(#,##0\);_(* &quot;-&quot;_);_(@_)">
                  <c:v>47.172284942566741</c:v>
                </c:pt>
                <c:pt idx="20" formatCode="_(* #,##0_);_(* \(#,##0\);_(* &quot;-&quot;_);_(@_)">
                  <c:v>46.12449889321843</c:v>
                </c:pt>
                <c:pt idx="21" formatCode="_(* #,##0_);_(* \(#,##0\);_(* &quot;-&quot;_);_(@_)">
                  <c:v>43.997076132191786</c:v>
                </c:pt>
                <c:pt idx="22" formatCode="_(* #,##0_);_(* \(#,##0\);_(* &quot;-&quot;_);_(@_)">
                  <c:v>43.370376757557132</c:v>
                </c:pt>
                <c:pt idx="23" formatCode="_(* #,##0_);_(* \(#,##0\);_(* &quot;-&quot;_);_(@_)">
                  <c:v>42.244930407056941</c:v>
                </c:pt>
                <c:pt idx="24" formatCode="_(* #,##0_);_(* \(#,##0\);_(* &quot;-&quot;_);_(@_)">
                  <c:v>40.465875003352018</c:v>
                </c:pt>
                <c:pt idx="25" formatCode="_(* #,##0_);_(* \(#,##0\);_(* &quot;-&quot;_);_(@_)">
                  <c:v>33.374025316822049</c:v>
                </c:pt>
                <c:pt idx="26" formatCode="_(* #,##0_);_(* \(#,##0\);_(* &quot;-&quot;_);_(@_)">
                  <c:v>24.482482614495005</c:v>
                </c:pt>
                <c:pt idx="27" formatCode="_(* #,##0_);_(* \(#,##0\);_(* &quot;-&quot;_);_(@_)">
                  <c:v>21.483552958759038</c:v>
                </c:pt>
                <c:pt idx="28" formatCode="_(* #,##0_);_(* \(#,##0\);_(* &quot;-&quot;_);_(@_)">
                  <c:v>18.854877897592289</c:v>
                </c:pt>
                <c:pt idx="29" formatCode="_(* #,##0_);_(* \(#,##0\);_(* &quot;-&quot;_);_(@_)">
                  <c:v>16.226202836425532</c:v>
                </c:pt>
                <c:pt idx="30" formatCode="_(* #,##0_);_(* \(#,##0\);_(* &quot;-&quot;_);_(@_)">
                  <c:v>13.597527775258772</c:v>
                </c:pt>
                <c:pt idx="31" formatCode="_(* #,##0_);_(* \(#,##0\);_(* &quot;-&quot;_);_(@_)">
                  <c:v>11.135124826855309</c:v>
                </c:pt>
                <c:pt idx="32" formatCode="_(* #,##0_);_(* \(#,##0\);_(* &quot;-&quot;_);_(@_)">
                  <c:v>8.6727218784518421</c:v>
                </c:pt>
                <c:pt idx="33" formatCode="_(* #,##0_);_(* \(#,##0\);_(* &quot;-&quot;_);_(@_)">
                  <c:v>6.2103189300483761</c:v>
                </c:pt>
                <c:pt idx="34" formatCode="_(* #,##0_);_(* \(#,##0\);_(* &quot;-&quot;_);_(@_)">
                  <c:v>3.7479159816449119</c:v>
                </c:pt>
                <c:pt idx="35" formatCode="_(* #,##0_);_(* \(#,##0\);_(* &quot;-&quot;_);_(@_)">
                  <c:v>1.2855130332414466</c:v>
                </c:pt>
                <c:pt idx="36" formatCode="_(* #,##0_);_(* \(#,##0\);_(* &quot;-&quot;_);_(@_)">
                  <c:v>1.0753894981777501</c:v>
                </c:pt>
                <c:pt idx="37" formatCode="_(* #,##0_);_(* \(#,##0\);_(* &quot;-&quot;_);_(@_)">
                  <c:v>0.86526596311405368</c:v>
                </c:pt>
                <c:pt idx="38" formatCode="_(* #,##0_);_(* \(#,##0\);_(* &quot;-&quot;_);_(@_)">
                  <c:v>0.65514242805035705</c:v>
                </c:pt>
                <c:pt idx="39" formatCode="_(* #,##0_);_(* \(#,##0\);_(* &quot;-&quot;_);_(@_)">
                  <c:v>0.44501889298666047</c:v>
                </c:pt>
                <c:pt idx="40" formatCode="_(* #,##0_);_(* \(#,##0\);_(* &quot;-&quot;_);_(@_)">
                  <c:v>0.23489535792296398</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53.709279804327963</c:v>
                </c:pt>
                <c:pt idx="10" formatCode="_(* #,##0_);_(* \(#,##0\);_(* &quot;-&quot;_);_(@_)">
                  <c:v>50.685422165534831</c:v>
                </c:pt>
                <c:pt idx="11" formatCode="_(* #,##0_);_(* \(#,##0\);_(* &quot;-&quot;_);_(@_)">
                  <c:v>50.618072007837</c:v>
                </c:pt>
                <c:pt idx="12" formatCode="_(* #,##0_);_(* \(#,##0\);_(* &quot;-&quot;_);_(@_)">
                  <c:v>50.359792847133136</c:v>
                </c:pt>
                <c:pt idx="13" formatCode="_(* #,##0_);_(* \(#,##0\);_(* &quot;-&quot;_);_(@_)">
                  <c:v>49.695564714711665</c:v>
                </c:pt>
                <c:pt idx="14" formatCode="_(* #,##0_);_(* \(#,##0\);_(* &quot;-&quot;_);_(@_)">
                  <c:v>49.925010483280978</c:v>
                </c:pt>
                <c:pt idx="15" formatCode="_(* #,##0_);_(* \(#,##0\);_(* &quot;-&quot;_);_(@_)">
                  <c:v>50.358140956147174</c:v>
                </c:pt>
                <c:pt idx="16" formatCode="_(* #,##0_);_(* \(#,##0\);_(* &quot;-&quot;_);_(@_)">
                  <c:v>48.568999176537098</c:v>
                </c:pt>
                <c:pt idx="17" formatCode="_(* #,##0_);_(* \(#,##0\);_(* &quot;-&quot;_);_(@_)">
                  <c:v>48.190122249078179</c:v>
                </c:pt>
                <c:pt idx="18" formatCode="_(* #,##0_);_(* \(#,##0\);_(* &quot;-&quot;_);_(@_)">
                  <c:v>48.438037819118328</c:v>
                </c:pt>
                <c:pt idx="19" formatCode="_(* #,##0_);_(* \(#,##0\);_(* &quot;-&quot;_);_(@_)">
                  <c:v>47.172284942566741</c:v>
                </c:pt>
                <c:pt idx="20" formatCode="_(* #,##0_);_(* \(#,##0\);_(* &quot;-&quot;_);_(@_)">
                  <c:v>46.12449889321843</c:v>
                </c:pt>
                <c:pt idx="21" formatCode="_(* #,##0_);_(* \(#,##0\);_(* &quot;-&quot;_);_(@_)">
                  <c:v>43.997076132191786</c:v>
                </c:pt>
                <c:pt idx="22" formatCode="_(* #,##0_);_(* \(#,##0\);_(* &quot;-&quot;_);_(@_)">
                  <c:v>43.370376757557132</c:v>
                </c:pt>
                <c:pt idx="23" formatCode="_(* #,##0_);_(* \(#,##0\);_(* &quot;-&quot;_);_(@_)">
                  <c:v>42.244930407056941</c:v>
                </c:pt>
                <c:pt idx="24" formatCode="_(* #,##0_);_(* \(#,##0\);_(* &quot;-&quot;_);_(@_)">
                  <c:v>40.465875003352018</c:v>
                </c:pt>
                <c:pt idx="25" formatCode="_(* #,##0_);_(* \(#,##0\);_(* &quot;-&quot;_);_(@_)">
                  <c:v>33.374025316822049</c:v>
                </c:pt>
                <c:pt idx="26" formatCode="_(* #,##0_);_(* \(#,##0\);_(* &quot;-&quot;_);_(@_)">
                  <c:v>24.482482614495005</c:v>
                </c:pt>
                <c:pt idx="27" formatCode="_(* #,##0_);_(* \(#,##0\);_(* &quot;-&quot;_);_(@_)">
                  <c:v>21.483552958759038</c:v>
                </c:pt>
                <c:pt idx="28" formatCode="_(* #,##0_);_(* \(#,##0\);_(* &quot;-&quot;_);_(@_)">
                  <c:v>18.854877897592289</c:v>
                </c:pt>
                <c:pt idx="29" formatCode="_(* #,##0_);_(* \(#,##0\);_(* &quot;-&quot;_);_(@_)">
                  <c:v>16.226202836425532</c:v>
                </c:pt>
                <c:pt idx="30" formatCode="_(* #,##0_);_(* \(#,##0\);_(* &quot;-&quot;_);_(@_)">
                  <c:v>13.597527775258772</c:v>
                </c:pt>
                <c:pt idx="31" formatCode="_(* #,##0_);_(* \(#,##0\);_(* &quot;-&quot;_);_(@_)">
                  <c:v>11.135124826855309</c:v>
                </c:pt>
                <c:pt idx="32" formatCode="_(* #,##0_);_(* \(#,##0\);_(* &quot;-&quot;_);_(@_)">
                  <c:v>8.6727218784518421</c:v>
                </c:pt>
                <c:pt idx="33" formatCode="_(* #,##0_);_(* \(#,##0\);_(* &quot;-&quot;_);_(@_)">
                  <c:v>6.2103189300483761</c:v>
                </c:pt>
                <c:pt idx="34" formatCode="_(* #,##0_);_(* \(#,##0\);_(* &quot;-&quot;_);_(@_)">
                  <c:v>3.7479159816449119</c:v>
                </c:pt>
                <c:pt idx="35" formatCode="_(* #,##0_);_(* \(#,##0\);_(* &quot;-&quot;_);_(@_)">
                  <c:v>1.2855130332414466</c:v>
                </c:pt>
                <c:pt idx="36" formatCode="_(* #,##0_);_(* \(#,##0\);_(* &quot;-&quot;_);_(@_)">
                  <c:v>1.0753894981777501</c:v>
                </c:pt>
                <c:pt idx="37" formatCode="_(* #,##0_);_(* \(#,##0\);_(* &quot;-&quot;_);_(@_)">
                  <c:v>0.86526596311405368</c:v>
                </c:pt>
                <c:pt idx="38" formatCode="_(* #,##0_);_(* \(#,##0\);_(* &quot;-&quot;_);_(@_)">
                  <c:v>0.65514242805035705</c:v>
                </c:pt>
                <c:pt idx="39" formatCode="_(* #,##0_);_(* \(#,##0\);_(* &quot;-&quot;_);_(@_)">
                  <c:v>0.44501889298666047</c:v>
                </c:pt>
                <c:pt idx="40" formatCode="_(* #,##0_);_(* \(#,##0\);_(* &quot;-&quot;_);_(@_)">
                  <c:v>0.23489535792296398</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53.709279804327963</c:v>
                </c:pt>
                <c:pt idx="10" formatCode="_(* #,##0_);_(* \(#,##0\);_(* &quot;-&quot;_);_(@_)">
                  <c:v>50.685422165534831</c:v>
                </c:pt>
                <c:pt idx="11" formatCode="_(* #,##0_);_(* \(#,##0\);_(* &quot;-&quot;_);_(@_)">
                  <c:v>50.618072007837</c:v>
                </c:pt>
                <c:pt idx="12" formatCode="_(* #,##0_);_(* \(#,##0\);_(* &quot;-&quot;_);_(@_)">
                  <c:v>50.359792847133136</c:v>
                </c:pt>
                <c:pt idx="13" formatCode="_(* #,##0_);_(* \(#,##0\);_(* &quot;-&quot;_);_(@_)">
                  <c:v>49.695564714711665</c:v>
                </c:pt>
                <c:pt idx="14" formatCode="_(* #,##0_);_(* \(#,##0\);_(* &quot;-&quot;_);_(@_)">
                  <c:v>49.925010483280978</c:v>
                </c:pt>
                <c:pt idx="15" formatCode="_(* #,##0_);_(* \(#,##0\);_(* &quot;-&quot;_);_(@_)">
                  <c:v>50.358140956147174</c:v>
                </c:pt>
                <c:pt idx="16" formatCode="_(* #,##0_);_(* \(#,##0\);_(* &quot;-&quot;_);_(@_)">
                  <c:v>48.568999176537098</c:v>
                </c:pt>
                <c:pt idx="17" formatCode="_(* #,##0_);_(* \(#,##0\);_(* &quot;-&quot;_);_(@_)">
                  <c:v>48.190122249078179</c:v>
                </c:pt>
                <c:pt idx="18" formatCode="_(* #,##0_);_(* \(#,##0\);_(* &quot;-&quot;_);_(@_)">
                  <c:v>48.438037819118328</c:v>
                </c:pt>
                <c:pt idx="19" formatCode="_(* #,##0_);_(* \(#,##0\);_(* &quot;-&quot;_);_(@_)">
                  <c:v>47.172284942566741</c:v>
                </c:pt>
                <c:pt idx="20" formatCode="_(* #,##0_);_(* \(#,##0\);_(* &quot;-&quot;_);_(@_)">
                  <c:v>46.12449889321843</c:v>
                </c:pt>
                <c:pt idx="21" formatCode="_(* #,##0_);_(* \(#,##0\);_(* &quot;-&quot;_);_(@_)">
                  <c:v>43.997076132191786</c:v>
                </c:pt>
                <c:pt idx="22" formatCode="_(* #,##0_);_(* \(#,##0\);_(* &quot;-&quot;_);_(@_)">
                  <c:v>43.370376757557132</c:v>
                </c:pt>
                <c:pt idx="23" formatCode="_(* #,##0_);_(* \(#,##0\);_(* &quot;-&quot;_);_(@_)">
                  <c:v>42.244930407056941</c:v>
                </c:pt>
                <c:pt idx="24" formatCode="_(* #,##0_);_(* \(#,##0\);_(* &quot;-&quot;_);_(@_)">
                  <c:v>40.465875003352018</c:v>
                </c:pt>
                <c:pt idx="25" formatCode="_(* #,##0_);_(* \(#,##0\);_(* &quot;-&quot;_);_(@_)">
                  <c:v>33.374025316822049</c:v>
                </c:pt>
                <c:pt idx="26" formatCode="_(* #,##0_);_(* \(#,##0\);_(* &quot;-&quot;_);_(@_)">
                  <c:v>24.482482614495005</c:v>
                </c:pt>
                <c:pt idx="27" formatCode="_(* #,##0_);_(* \(#,##0\);_(* &quot;-&quot;_);_(@_)">
                  <c:v>21.483552958759038</c:v>
                </c:pt>
                <c:pt idx="28" formatCode="_(* #,##0_);_(* \(#,##0\);_(* &quot;-&quot;_);_(@_)">
                  <c:v>18.854877897592289</c:v>
                </c:pt>
                <c:pt idx="29" formatCode="_(* #,##0_);_(* \(#,##0\);_(* &quot;-&quot;_);_(@_)">
                  <c:v>16.226202836425532</c:v>
                </c:pt>
                <c:pt idx="30" formatCode="_(* #,##0_);_(* \(#,##0\);_(* &quot;-&quot;_);_(@_)">
                  <c:v>13.597527775258772</c:v>
                </c:pt>
                <c:pt idx="31" formatCode="_(* #,##0_);_(* \(#,##0\);_(* &quot;-&quot;_);_(@_)">
                  <c:v>11.135124826855309</c:v>
                </c:pt>
                <c:pt idx="32" formatCode="_(* #,##0_);_(* \(#,##0\);_(* &quot;-&quot;_);_(@_)">
                  <c:v>8.6727218784518421</c:v>
                </c:pt>
                <c:pt idx="33" formatCode="_(* #,##0_);_(* \(#,##0\);_(* &quot;-&quot;_);_(@_)">
                  <c:v>6.2103189300483761</c:v>
                </c:pt>
                <c:pt idx="34" formatCode="_(* #,##0_);_(* \(#,##0\);_(* &quot;-&quot;_);_(@_)">
                  <c:v>3.7479159816449119</c:v>
                </c:pt>
                <c:pt idx="35" formatCode="_(* #,##0_);_(* \(#,##0\);_(* &quot;-&quot;_);_(@_)">
                  <c:v>1.2855130332414466</c:v>
                </c:pt>
                <c:pt idx="36" formatCode="_(* #,##0_);_(* \(#,##0\);_(* &quot;-&quot;_);_(@_)">
                  <c:v>1.0753894981777501</c:v>
                </c:pt>
                <c:pt idx="37" formatCode="_(* #,##0_);_(* \(#,##0\);_(* &quot;-&quot;_);_(@_)">
                  <c:v>0.86526596311405368</c:v>
                </c:pt>
                <c:pt idx="38" formatCode="_(* #,##0_);_(* \(#,##0\);_(* &quot;-&quot;_);_(@_)">
                  <c:v>0.65514242805035705</c:v>
                </c:pt>
                <c:pt idx="39" formatCode="_(* #,##0_);_(* \(#,##0\);_(* &quot;-&quot;_);_(@_)">
                  <c:v>0.44501889298666047</c:v>
                </c:pt>
                <c:pt idx="40" formatCode="_(* #,##0_);_(* \(#,##0\);_(* &quot;-&quot;_);_(@_)">
                  <c:v>0.23489535792296398</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53.709279804327963</c:v>
                </c:pt>
                <c:pt idx="10" formatCode="_(* #,##0_);_(* \(#,##0\);_(* &quot;-&quot;_);_(@_)">
                  <c:v>50.685422165534831</c:v>
                </c:pt>
                <c:pt idx="11" formatCode="_(* #,##0_);_(* \(#,##0\);_(* &quot;-&quot;_);_(@_)">
                  <c:v>50.618072007837</c:v>
                </c:pt>
                <c:pt idx="12" formatCode="_(* #,##0_);_(* \(#,##0\);_(* &quot;-&quot;_);_(@_)">
                  <c:v>50.359792847133136</c:v>
                </c:pt>
                <c:pt idx="13" formatCode="_(* #,##0_);_(* \(#,##0\);_(* &quot;-&quot;_);_(@_)">
                  <c:v>49.695564714711665</c:v>
                </c:pt>
                <c:pt idx="14" formatCode="_(* #,##0_);_(* \(#,##0\);_(* &quot;-&quot;_);_(@_)">
                  <c:v>49.925010483280978</c:v>
                </c:pt>
                <c:pt idx="15" formatCode="_(* #,##0_);_(* \(#,##0\);_(* &quot;-&quot;_);_(@_)">
                  <c:v>50.358140956147174</c:v>
                </c:pt>
                <c:pt idx="16" formatCode="_(* #,##0_);_(* \(#,##0\);_(* &quot;-&quot;_);_(@_)">
                  <c:v>48.568999176537098</c:v>
                </c:pt>
                <c:pt idx="17" formatCode="_(* #,##0_);_(* \(#,##0\);_(* &quot;-&quot;_);_(@_)">
                  <c:v>48.190122249078179</c:v>
                </c:pt>
                <c:pt idx="18" formatCode="_(* #,##0_);_(* \(#,##0\);_(* &quot;-&quot;_);_(@_)">
                  <c:v>48.438037819118328</c:v>
                </c:pt>
                <c:pt idx="19" formatCode="_(* #,##0_);_(* \(#,##0\);_(* &quot;-&quot;_);_(@_)">
                  <c:v>47.172284942566741</c:v>
                </c:pt>
                <c:pt idx="20" formatCode="_(* #,##0_);_(* \(#,##0\);_(* &quot;-&quot;_);_(@_)">
                  <c:v>46.12449889321843</c:v>
                </c:pt>
                <c:pt idx="21" formatCode="_(* #,##0_);_(* \(#,##0\);_(* &quot;-&quot;_);_(@_)">
                  <c:v>43.997076132191786</c:v>
                </c:pt>
                <c:pt idx="22" formatCode="_(* #,##0_);_(* \(#,##0\);_(* &quot;-&quot;_);_(@_)">
                  <c:v>43.370376757557132</c:v>
                </c:pt>
                <c:pt idx="23" formatCode="_(* #,##0_);_(* \(#,##0\);_(* &quot;-&quot;_);_(@_)">
                  <c:v>42.244930407056941</c:v>
                </c:pt>
                <c:pt idx="24" formatCode="_(* #,##0_);_(* \(#,##0\);_(* &quot;-&quot;_);_(@_)">
                  <c:v>40.465875003352018</c:v>
                </c:pt>
                <c:pt idx="25" formatCode="_(* #,##0_);_(* \(#,##0\);_(* &quot;-&quot;_);_(@_)">
                  <c:v>33.374025316822049</c:v>
                </c:pt>
                <c:pt idx="26" formatCode="_(* #,##0_);_(* \(#,##0\);_(* &quot;-&quot;_);_(@_)">
                  <c:v>24.482482614495005</c:v>
                </c:pt>
                <c:pt idx="27" formatCode="_(* #,##0_);_(* \(#,##0\);_(* &quot;-&quot;_);_(@_)">
                  <c:v>21.483552958759038</c:v>
                </c:pt>
                <c:pt idx="28" formatCode="_(* #,##0_);_(* \(#,##0\);_(* &quot;-&quot;_);_(@_)">
                  <c:v>18.854877897592289</c:v>
                </c:pt>
                <c:pt idx="29" formatCode="_(* #,##0_);_(* \(#,##0\);_(* &quot;-&quot;_);_(@_)">
                  <c:v>16.226202836425532</c:v>
                </c:pt>
                <c:pt idx="30" formatCode="_(* #,##0_);_(* \(#,##0\);_(* &quot;-&quot;_);_(@_)">
                  <c:v>13.597527775258772</c:v>
                </c:pt>
                <c:pt idx="31" formatCode="_(* #,##0_);_(* \(#,##0\);_(* &quot;-&quot;_);_(@_)">
                  <c:v>11.135124826855309</c:v>
                </c:pt>
                <c:pt idx="32" formatCode="_(* #,##0_);_(* \(#,##0\);_(* &quot;-&quot;_);_(@_)">
                  <c:v>8.6727218784518421</c:v>
                </c:pt>
                <c:pt idx="33" formatCode="_(* #,##0_);_(* \(#,##0\);_(* &quot;-&quot;_);_(@_)">
                  <c:v>6.2103189300483761</c:v>
                </c:pt>
                <c:pt idx="34" formatCode="_(* #,##0_);_(* \(#,##0\);_(* &quot;-&quot;_);_(@_)">
                  <c:v>3.7479159816449119</c:v>
                </c:pt>
                <c:pt idx="35" formatCode="_(* #,##0_);_(* \(#,##0\);_(* &quot;-&quot;_);_(@_)">
                  <c:v>1.2855130332414466</c:v>
                </c:pt>
                <c:pt idx="36" formatCode="_(* #,##0_);_(* \(#,##0\);_(* &quot;-&quot;_);_(@_)">
                  <c:v>1.0753894981777501</c:v>
                </c:pt>
                <c:pt idx="37" formatCode="_(* #,##0_);_(* \(#,##0\);_(* &quot;-&quot;_);_(@_)">
                  <c:v>0.86526596311405368</c:v>
                </c:pt>
                <c:pt idx="38" formatCode="_(* #,##0_);_(* \(#,##0\);_(* &quot;-&quot;_);_(@_)">
                  <c:v>0.65514242805035705</c:v>
                </c:pt>
                <c:pt idx="39" formatCode="_(* #,##0_);_(* \(#,##0\);_(* &quot;-&quot;_);_(@_)">
                  <c:v>0.44501889298666047</c:v>
                </c:pt>
                <c:pt idx="40" formatCode="_(* #,##0_);_(* \(#,##0\);_(* &quot;-&quot;_);_(@_)">
                  <c:v>0.23489535792296398</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53.709279804327963</c:v>
                </c:pt>
                <c:pt idx="10" formatCode="_(* #,##0_);_(* \(#,##0\);_(* &quot;-&quot;_);_(@_)">
                  <c:v>50.685422165534831</c:v>
                </c:pt>
                <c:pt idx="11" formatCode="_(* #,##0_);_(* \(#,##0\);_(* &quot;-&quot;_);_(@_)">
                  <c:v>50.618072007837</c:v>
                </c:pt>
                <c:pt idx="12" formatCode="_(* #,##0_);_(* \(#,##0\);_(* &quot;-&quot;_);_(@_)">
                  <c:v>50.359792847133136</c:v>
                </c:pt>
                <c:pt idx="13" formatCode="_(* #,##0_);_(* \(#,##0\);_(* &quot;-&quot;_);_(@_)">
                  <c:v>49.695564714711665</c:v>
                </c:pt>
                <c:pt idx="14" formatCode="_(* #,##0_);_(* \(#,##0\);_(* &quot;-&quot;_);_(@_)">
                  <c:v>49.925010483280978</c:v>
                </c:pt>
                <c:pt idx="15" formatCode="_(* #,##0_);_(* \(#,##0\);_(* &quot;-&quot;_);_(@_)">
                  <c:v>50.358140956147174</c:v>
                </c:pt>
                <c:pt idx="16" formatCode="_(* #,##0_);_(* \(#,##0\);_(* &quot;-&quot;_);_(@_)">
                  <c:v>48.568999176537098</c:v>
                </c:pt>
                <c:pt idx="17" formatCode="_(* #,##0_);_(* \(#,##0\);_(* &quot;-&quot;_);_(@_)">
                  <c:v>48.190122249078179</c:v>
                </c:pt>
                <c:pt idx="18" formatCode="_(* #,##0_);_(* \(#,##0\);_(* &quot;-&quot;_);_(@_)">
                  <c:v>48.438037819118328</c:v>
                </c:pt>
                <c:pt idx="19" formatCode="_(* #,##0_);_(* \(#,##0\);_(* &quot;-&quot;_);_(@_)">
                  <c:v>47.172284942566741</c:v>
                </c:pt>
                <c:pt idx="20" formatCode="_(* #,##0_);_(* \(#,##0\);_(* &quot;-&quot;_);_(@_)">
                  <c:v>46.12449889321843</c:v>
                </c:pt>
                <c:pt idx="21" formatCode="_(* #,##0_);_(* \(#,##0\);_(* &quot;-&quot;_);_(@_)">
                  <c:v>43.997076132191786</c:v>
                </c:pt>
                <c:pt idx="22" formatCode="_(* #,##0_);_(* \(#,##0\);_(* &quot;-&quot;_);_(@_)">
                  <c:v>43.370376757557132</c:v>
                </c:pt>
                <c:pt idx="23" formatCode="_(* #,##0_);_(* \(#,##0\);_(* &quot;-&quot;_);_(@_)">
                  <c:v>42.244930407056941</c:v>
                </c:pt>
                <c:pt idx="24" formatCode="_(* #,##0_);_(* \(#,##0\);_(* &quot;-&quot;_);_(@_)">
                  <c:v>40.465875003352018</c:v>
                </c:pt>
                <c:pt idx="25" formatCode="_(* #,##0_);_(* \(#,##0\);_(* &quot;-&quot;_);_(@_)">
                  <c:v>33.374025316822049</c:v>
                </c:pt>
                <c:pt idx="26" formatCode="_(* #,##0_);_(* \(#,##0\);_(* &quot;-&quot;_);_(@_)">
                  <c:v>24.482482614495005</c:v>
                </c:pt>
                <c:pt idx="27" formatCode="_(* #,##0_);_(* \(#,##0\);_(* &quot;-&quot;_);_(@_)">
                  <c:v>21.483552958759038</c:v>
                </c:pt>
                <c:pt idx="28" formatCode="_(* #,##0_);_(* \(#,##0\);_(* &quot;-&quot;_);_(@_)">
                  <c:v>18.854877897592289</c:v>
                </c:pt>
                <c:pt idx="29" formatCode="_(* #,##0_);_(* \(#,##0\);_(* &quot;-&quot;_);_(@_)">
                  <c:v>16.226202836425532</c:v>
                </c:pt>
                <c:pt idx="30" formatCode="_(* #,##0_);_(* \(#,##0\);_(* &quot;-&quot;_);_(@_)">
                  <c:v>13.597527775258772</c:v>
                </c:pt>
                <c:pt idx="31" formatCode="_(* #,##0_);_(* \(#,##0\);_(* &quot;-&quot;_);_(@_)">
                  <c:v>11.135124826855309</c:v>
                </c:pt>
                <c:pt idx="32" formatCode="_(* #,##0_);_(* \(#,##0\);_(* &quot;-&quot;_);_(@_)">
                  <c:v>8.6727218784518421</c:v>
                </c:pt>
                <c:pt idx="33" formatCode="_(* #,##0_);_(* \(#,##0\);_(* &quot;-&quot;_);_(@_)">
                  <c:v>6.2103189300483761</c:v>
                </c:pt>
                <c:pt idx="34" formatCode="_(* #,##0_);_(* \(#,##0\);_(* &quot;-&quot;_);_(@_)">
                  <c:v>3.7479159816449119</c:v>
                </c:pt>
                <c:pt idx="35" formatCode="_(* #,##0_);_(* \(#,##0\);_(* &quot;-&quot;_);_(@_)">
                  <c:v>1.2855130332414466</c:v>
                </c:pt>
                <c:pt idx="36" formatCode="_(* #,##0_);_(* \(#,##0\);_(* &quot;-&quot;_);_(@_)">
                  <c:v>1.0753894981777501</c:v>
                </c:pt>
                <c:pt idx="37" formatCode="_(* #,##0_);_(* \(#,##0\);_(* &quot;-&quot;_);_(@_)">
                  <c:v>0.86526596311405368</c:v>
                </c:pt>
                <c:pt idx="38" formatCode="_(* #,##0_);_(* \(#,##0\);_(* &quot;-&quot;_);_(@_)">
                  <c:v>0.65514242805035705</c:v>
                </c:pt>
                <c:pt idx="39" formatCode="_(* #,##0_);_(* \(#,##0\);_(* &quot;-&quot;_);_(@_)">
                  <c:v>0.44501889298666047</c:v>
                </c:pt>
                <c:pt idx="40" formatCode="_(* #,##0_);_(* \(#,##0\);_(* &quot;-&quot;_);_(@_)">
                  <c:v>0.23489535792296398</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53.709279804327963</c:v>
                </c:pt>
                <c:pt idx="10" formatCode="_(* #,##0_);_(* \(#,##0\);_(* &quot;-&quot;_);_(@_)">
                  <c:v>50.685422165534831</c:v>
                </c:pt>
                <c:pt idx="11" formatCode="_(* #,##0_);_(* \(#,##0\);_(* &quot;-&quot;_);_(@_)">
                  <c:v>50.618072007837</c:v>
                </c:pt>
                <c:pt idx="12" formatCode="_(* #,##0_);_(* \(#,##0\);_(* &quot;-&quot;_);_(@_)">
                  <c:v>50.359792847133136</c:v>
                </c:pt>
                <c:pt idx="13" formatCode="_(* #,##0_);_(* \(#,##0\);_(* &quot;-&quot;_);_(@_)">
                  <c:v>49.695564714711665</c:v>
                </c:pt>
                <c:pt idx="14" formatCode="_(* #,##0_);_(* \(#,##0\);_(* &quot;-&quot;_);_(@_)">
                  <c:v>49.925010483280978</c:v>
                </c:pt>
                <c:pt idx="15" formatCode="_(* #,##0_);_(* \(#,##0\);_(* &quot;-&quot;_);_(@_)">
                  <c:v>50.358140956147174</c:v>
                </c:pt>
                <c:pt idx="16" formatCode="_(* #,##0_);_(* \(#,##0\);_(* &quot;-&quot;_);_(@_)">
                  <c:v>48.568999176537098</c:v>
                </c:pt>
                <c:pt idx="17" formatCode="_(* #,##0_);_(* \(#,##0\);_(* &quot;-&quot;_);_(@_)">
                  <c:v>48.190122249078179</c:v>
                </c:pt>
                <c:pt idx="18" formatCode="_(* #,##0_);_(* \(#,##0\);_(* &quot;-&quot;_);_(@_)">
                  <c:v>48.438037819118328</c:v>
                </c:pt>
                <c:pt idx="19" formatCode="_(* #,##0_);_(* \(#,##0\);_(* &quot;-&quot;_);_(@_)">
                  <c:v>47.172284942566741</c:v>
                </c:pt>
                <c:pt idx="20" formatCode="_(* #,##0_);_(* \(#,##0\);_(* &quot;-&quot;_);_(@_)">
                  <c:v>46.12449889321843</c:v>
                </c:pt>
                <c:pt idx="21" formatCode="_(* #,##0_);_(* \(#,##0\);_(* &quot;-&quot;_);_(@_)">
                  <c:v>43.997076132191786</c:v>
                </c:pt>
                <c:pt idx="22" formatCode="_(* #,##0_);_(* \(#,##0\);_(* &quot;-&quot;_);_(@_)">
                  <c:v>43.370376757557132</c:v>
                </c:pt>
                <c:pt idx="23" formatCode="_(* #,##0_);_(* \(#,##0\);_(* &quot;-&quot;_);_(@_)">
                  <c:v>42.244930407056941</c:v>
                </c:pt>
                <c:pt idx="24" formatCode="_(* #,##0_);_(* \(#,##0\);_(* &quot;-&quot;_);_(@_)">
                  <c:v>40.465875003352018</c:v>
                </c:pt>
                <c:pt idx="25" formatCode="_(* #,##0_);_(* \(#,##0\);_(* &quot;-&quot;_);_(@_)">
                  <c:v>33.374025316822049</c:v>
                </c:pt>
                <c:pt idx="26" formatCode="_(* #,##0_);_(* \(#,##0\);_(* &quot;-&quot;_);_(@_)">
                  <c:v>24.482482614495005</c:v>
                </c:pt>
                <c:pt idx="27" formatCode="_(* #,##0_);_(* \(#,##0\);_(* &quot;-&quot;_);_(@_)">
                  <c:v>21.483552958759038</c:v>
                </c:pt>
                <c:pt idx="28" formatCode="_(* #,##0_);_(* \(#,##0\);_(* &quot;-&quot;_);_(@_)">
                  <c:v>18.854877897592289</c:v>
                </c:pt>
                <c:pt idx="29" formatCode="_(* #,##0_);_(* \(#,##0\);_(* &quot;-&quot;_);_(@_)">
                  <c:v>16.226202836425532</c:v>
                </c:pt>
                <c:pt idx="30" formatCode="_(* #,##0_);_(* \(#,##0\);_(* &quot;-&quot;_);_(@_)">
                  <c:v>13.597527775258772</c:v>
                </c:pt>
                <c:pt idx="31" formatCode="_(* #,##0_);_(* \(#,##0\);_(* &quot;-&quot;_);_(@_)">
                  <c:v>11.135124826855309</c:v>
                </c:pt>
                <c:pt idx="32" formatCode="_(* #,##0_);_(* \(#,##0\);_(* &quot;-&quot;_);_(@_)">
                  <c:v>8.6727218784518421</c:v>
                </c:pt>
                <c:pt idx="33" formatCode="_(* #,##0_);_(* \(#,##0\);_(* &quot;-&quot;_);_(@_)">
                  <c:v>6.2103189300483761</c:v>
                </c:pt>
                <c:pt idx="34" formatCode="_(* #,##0_);_(* \(#,##0\);_(* &quot;-&quot;_);_(@_)">
                  <c:v>3.7479159816449119</c:v>
                </c:pt>
                <c:pt idx="35" formatCode="_(* #,##0_);_(* \(#,##0\);_(* &quot;-&quot;_);_(@_)">
                  <c:v>1.2855130332414466</c:v>
                </c:pt>
                <c:pt idx="36" formatCode="_(* #,##0_);_(* \(#,##0\);_(* &quot;-&quot;_);_(@_)">
                  <c:v>1.0753894981777501</c:v>
                </c:pt>
                <c:pt idx="37" formatCode="_(* #,##0_);_(* \(#,##0\);_(* &quot;-&quot;_);_(@_)">
                  <c:v>0.86526596311405368</c:v>
                </c:pt>
                <c:pt idx="38" formatCode="_(* #,##0_);_(* \(#,##0\);_(* &quot;-&quot;_);_(@_)">
                  <c:v>0.65514242805035705</c:v>
                </c:pt>
                <c:pt idx="39" formatCode="_(* #,##0_);_(* \(#,##0\);_(* &quot;-&quot;_);_(@_)">
                  <c:v>0.44501889298666047</c:v>
                </c:pt>
                <c:pt idx="40" formatCode="_(* #,##0_);_(* \(#,##0\);_(* &quot;-&quot;_);_(@_)">
                  <c:v>0.23489535792296398</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0.17550123929407857</c:v>
                </c:pt>
                <c:pt idx="20">
                  <c:v>0.16680299581403968</c:v>
                </c:pt>
                <c:pt idx="21">
                  <c:v>0.19752867950801611</c:v>
                </c:pt>
                <c:pt idx="22">
                  <c:v>0.22317084454113534</c:v>
                </c:pt>
                <c:pt idx="23">
                  <c:v>0.24370274005673687</c:v>
                </c:pt>
                <c:pt idx="24">
                  <c:v>0.26793381230323288</c:v>
                </c:pt>
                <c:pt idx="25">
                  <c:v>0.29049585113309173</c:v>
                </c:pt>
                <c:pt idx="26">
                  <c:v>0.29891813504806297</c:v>
                </c:pt>
                <c:pt idx="27">
                  <c:v>0.30670715972377605</c:v>
                </c:pt>
                <c:pt idx="28">
                  <c:v>0.30856267073802934</c:v>
                </c:pt>
                <c:pt idx="29">
                  <c:v>0.31543238100002513</c:v>
                </c:pt>
                <c:pt idx="30">
                  <c:v>0.3212759023902616</c:v>
                </c:pt>
                <c:pt idx="31">
                  <c:v>0.32597845323728281</c:v>
                </c:pt>
                <c:pt idx="32">
                  <c:v>0.33276731563826367</c:v>
                </c:pt>
                <c:pt idx="33">
                  <c:v>0.34079928228707201</c:v>
                </c:pt>
                <c:pt idx="34">
                  <c:v>0.35177689426581371</c:v>
                </c:pt>
                <c:pt idx="35">
                  <c:v>0.36179529647693132</c:v>
                </c:pt>
                <c:pt idx="36">
                  <c:v>0.33633596727222892</c:v>
                </c:pt>
                <c:pt idx="37">
                  <c:v>0.33757869913395289</c:v>
                </c:pt>
                <c:pt idx="38">
                  <c:v>0.34011321417457729</c:v>
                </c:pt>
                <c:pt idx="39">
                  <c:v>0.34244163927860161</c:v>
                </c:pt>
                <c:pt idx="40">
                  <c:v>0.34452274928452731</c:v>
                </c:pt>
                <c:pt idx="41">
                  <c:v>0.35258477735772231</c:v>
                </c:pt>
                <c:pt idx="42">
                  <c:v>0.35943959819017557</c:v>
                </c:pt>
                <c:pt idx="43">
                  <c:v>0.36561096029373097</c:v>
                </c:pt>
                <c:pt idx="44">
                  <c:v>0.37123443882954021</c:v>
                </c:pt>
                <c:pt idx="45">
                  <c:v>0.37637138389818148</c:v>
                </c:pt>
                <c:pt idx="46">
                  <c:v>0.39123856418667069</c:v>
                </c:pt>
                <c:pt idx="47">
                  <c:v>0.40378263987809593</c:v>
                </c:pt>
                <c:pt idx="48">
                  <c:v>0.4154254996192146</c:v>
                </c:pt>
                <c:pt idx="49">
                  <c:v>0.42605901340901708</c:v>
                </c:pt>
                <c:pt idx="50">
                  <c:v>0.43595199201773283</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0.17550123929407857</c:v>
                </c:pt>
                <c:pt idx="20">
                  <c:v>0.16680299581403968</c:v>
                </c:pt>
                <c:pt idx="21">
                  <c:v>0.19752867950801611</c:v>
                </c:pt>
                <c:pt idx="22">
                  <c:v>0.22317084454113534</c:v>
                </c:pt>
                <c:pt idx="23">
                  <c:v>0.24370274005673687</c:v>
                </c:pt>
                <c:pt idx="24">
                  <c:v>0.26793381230323288</c:v>
                </c:pt>
                <c:pt idx="25">
                  <c:v>0.29049585113309173</c:v>
                </c:pt>
                <c:pt idx="26">
                  <c:v>0.29891813504806297</c:v>
                </c:pt>
                <c:pt idx="27">
                  <c:v>0.30670715972377605</c:v>
                </c:pt>
                <c:pt idx="28">
                  <c:v>0.30856267073802934</c:v>
                </c:pt>
                <c:pt idx="29">
                  <c:v>0.31543238100002513</c:v>
                </c:pt>
                <c:pt idx="30">
                  <c:v>0.3212759023902616</c:v>
                </c:pt>
                <c:pt idx="31">
                  <c:v>0.32597845323728281</c:v>
                </c:pt>
                <c:pt idx="32">
                  <c:v>0.33276731563826367</c:v>
                </c:pt>
                <c:pt idx="33">
                  <c:v>0.34079928228707201</c:v>
                </c:pt>
                <c:pt idx="34">
                  <c:v>0.35177689426581371</c:v>
                </c:pt>
                <c:pt idx="35">
                  <c:v>0.36179529647693132</c:v>
                </c:pt>
                <c:pt idx="36">
                  <c:v>0.33633596727222892</c:v>
                </c:pt>
                <c:pt idx="37">
                  <c:v>0.33757869913395289</c:v>
                </c:pt>
                <c:pt idx="38">
                  <c:v>0.34011321417457729</c:v>
                </c:pt>
                <c:pt idx="39">
                  <c:v>0.34244163927860161</c:v>
                </c:pt>
                <c:pt idx="40">
                  <c:v>0.34452274928452731</c:v>
                </c:pt>
                <c:pt idx="41">
                  <c:v>0.35258477735772231</c:v>
                </c:pt>
                <c:pt idx="42">
                  <c:v>0.35943959819017557</c:v>
                </c:pt>
                <c:pt idx="43">
                  <c:v>0.36561096029373097</c:v>
                </c:pt>
                <c:pt idx="44">
                  <c:v>0.37123443882954021</c:v>
                </c:pt>
                <c:pt idx="45">
                  <c:v>0.37637138389818148</c:v>
                </c:pt>
                <c:pt idx="46">
                  <c:v>0.39123856418667069</c:v>
                </c:pt>
                <c:pt idx="47">
                  <c:v>0.40378263987809593</c:v>
                </c:pt>
                <c:pt idx="48">
                  <c:v>0.4154254996192146</c:v>
                </c:pt>
                <c:pt idx="49">
                  <c:v>0.42605901340901708</c:v>
                </c:pt>
                <c:pt idx="50">
                  <c:v>0.43595199201773283</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0.16120779967237486</c:v>
                </c:pt>
                <c:pt idx="20">
                  <c:v>0.1650958360902629</c:v>
                </c:pt>
                <c:pt idx="21">
                  <c:v>0.26201975525146737</c:v>
                </c:pt>
                <c:pt idx="22">
                  <c:v>0.28673488287563798</c:v>
                </c:pt>
                <c:pt idx="23">
                  <c:v>0.2916598899170304</c:v>
                </c:pt>
                <c:pt idx="24">
                  <c:v>0.29424060922671458</c:v>
                </c:pt>
                <c:pt idx="25">
                  <c:v>0.29581125115006557</c:v>
                </c:pt>
                <c:pt idx="26">
                  <c:v>0.30335927190463674</c:v>
                </c:pt>
                <c:pt idx="27">
                  <c:v>0.30670715972377605</c:v>
                </c:pt>
                <c:pt idx="28">
                  <c:v>0.30856267073802934</c:v>
                </c:pt>
                <c:pt idx="29">
                  <c:v>0.31543238100002513</c:v>
                </c:pt>
                <c:pt idx="30">
                  <c:v>0.32127590239026171</c:v>
                </c:pt>
                <c:pt idx="31">
                  <c:v>0.32597845323728303</c:v>
                </c:pt>
                <c:pt idx="32">
                  <c:v>0.33276731563826367</c:v>
                </c:pt>
                <c:pt idx="33">
                  <c:v>0.34079928228707201</c:v>
                </c:pt>
                <c:pt idx="34">
                  <c:v>0.35177689426581371</c:v>
                </c:pt>
                <c:pt idx="35">
                  <c:v>0.38054779505581349</c:v>
                </c:pt>
                <c:pt idx="36">
                  <c:v>0.41993685193758523</c:v>
                </c:pt>
                <c:pt idx="37">
                  <c:v>0.42844425019755206</c:v>
                </c:pt>
                <c:pt idx="38">
                  <c:v>0.42708137761511178</c:v>
                </c:pt>
                <c:pt idx="39">
                  <c:v>0.42578160420669942</c:v>
                </c:pt>
                <c:pt idx="40">
                  <c:v>0.42451679099375317</c:v>
                </c:pt>
                <c:pt idx="41">
                  <c:v>0.42393257563141884</c:v>
                </c:pt>
                <c:pt idx="42">
                  <c:v>0.42303586537028126</c:v>
                </c:pt>
                <c:pt idx="43">
                  <c:v>0.42214374513725073</c:v>
                </c:pt>
                <c:pt idx="44">
                  <c:v>0.42133195051404215</c:v>
                </c:pt>
                <c:pt idx="45">
                  <c:v>0.42062927878451328</c:v>
                </c:pt>
                <c:pt idx="46">
                  <c:v>0.42457126921454891</c:v>
                </c:pt>
                <c:pt idx="47">
                  <c:v>0.42742995593517208</c:v>
                </c:pt>
                <c:pt idx="48">
                  <c:v>0.43025563637690944</c:v>
                </c:pt>
                <c:pt idx="49">
                  <c:v>0.43288463114800246</c:v>
                </c:pt>
                <c:pt idx="50">
                  <c:v>0.43550183362464157</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0.16120779967237486</c:v>
                </c:pt>
                <c:pt idx="20">
                  <c:v>0.1650958360902629</c:v>
                </c:pt>
                <c:pt idx="21">
                  <c:v>0.26201975525146737</c:v>
                </c:pt>
                <c:pt idx="22">
                  <c:v>0.28673488287563798</c:v>
                </c:pt>
                <c:pt idx="23">
                  <c:v>0.2916598899170304</c:v>
                </c:pt>
                <c:pt idx="24">
                  <c:v>0.29424060922671458</c:v>
                </c:pt>
                <c:pt idx="25">
                  <c:v>0.29581125115006557</c:v>
                </c:pt>
                <c:pt idx="26">
                  <c:v>0.30335927190463674</c:v>
                </c:pt>
                <c:pt idx="27">
                  <c:v>0.30670715972377605</c:v>
                </c:pt>
                <c:pt idx="28">
                  <c:v>0.30856267073802934</c:v>
                </c:pt>
                <c:pt idx="29">
                  <c:v>0.31543238100002513</c:v>
                </c:pt>
                <c:pt idx="30">
                  <c:v>0.32127590239026171</c:v>
                </c:pt>
                <c:pt idx="31">
                  <c:v>0.32597845323728303</c:v>
                </c:pt>
                <c:pt idx="32">
                  <c:v>0.33276731563826367</c:v>
                </c:pt>
                <c:pt idx="33">
                  <c:v>0.34079928228707201</c:v>
                </c:pt>
                <c:pt idx="34">
                  <c:v>0.35177689426581371</c:v>
                </c:pt>
                <c:pt idx="35">
                  <c:v>0.38054779505581349</c:v>
                </c:pt>
                <c:pt idx="36">
                  <c:v>0.41993685193758523</c:v>
                </c:pt>
                <c:pt idx="37">
                  <c:v>0.42844425019755206</c:v>
                </c:pt>
                <c:pt idx="38">
                  <c:v>0.42708137761511178</c:v>
                </c:pt>
                <c:pt idx="39">
                  <c:v>0.42578160420669942</c:v>
                </c:pt>
                <c:pt idx="40">
                  <c:v>0.42451679099375317</c:v>
                </c:pt>
                <c:pt idx="41">
                  <c:v>0.42393257563141884</c:v>
                </c:pt>
                <c:pt idx="42">
                  <c:v>0.42303586537028126</c:v>
                </c:pt>
                <c:pt idx="43">
                  <c:v>0.42214374513725073</c:v>
                </c:pt>
                <c:pt idx="44">
                  <c:v>0.42133195051404215</c:v>
                </c:pt>
                <c:pt idx="45">
                  <c:v>0.42062927878451328</c:v>
                </c:pt>
                <c:pt idx="46">
                  <c:v>0.42457126921454891</c:v>
                </c:pt>
                <c:pt idx="47">
                  <c:v>0.42742995593517208</c:v>
                </c:pt>
                <c:pt idx="48">
                  <c:v>0.43025563637690944</c:v>
                </c:pt>
                <c:pt idx="49">
                  <c:v>0.43288463114800246</c:v>
                </c:pt>
                <c:pt idx="50">
                  <c:v>0.43550183362464157</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0.16120779967237486</c:v>
                </c:pt>
                <c:pt idx="20">
                  <c:v>0.1650958360902629</c:v>
                </c:pt>
                <c:pt idx="21">
                  <c:v>0.26201975525146737</c:v>
                </c:pt>
                <c:pt idx="22">
                  <c:v>0.28673488287563798</c:v>
                </c:pt>
                <c:pt idx="23">
                  <c:v>0.2916598899170304</c:v>
                </c:pt>
                <c:pt idx="24">
                  <c:v>0.29424060922671458</c:v>
                </c:pt>
                <c:pt idx="25">
                  <c:v>0.29581125115006557</c:v>
                </c:pt>
                <c:pt idx="26">
                  <c:v>0.30335927190463674</c:v>
                </c:pt>
                <c:pt idx="27">
                  <c:v>0.30670715972377605</c:v>
                </c:pt>
                <c:pt idx="28">
                  <c:v>0.30856267073802934</c:v>
                </c:pt>
                <c:pt idx="29">
                  <c:v>0.31543238100002513</c:v>
                </c:pt>
                <c:pt idx="30">
                  <c:v>0.32127590239026171</c:v>
                </c:pt>
                <c:pt idx="31">
                  <c:v>0.32597845323728303</c:v>
                </c:pt>
                <c:pt idx="32">
                  <c:v>0.33276731563826367</c:v>
                </c:pt>
                <c:pt idx="33">
                  <c:v>0.34079928228707201</c:v>
                </c:pt>
                <c:pt idx="34">
                  <c:v>0.35177689426581371</c:v>
                </c:pt>
                <c:pt idx="35">
                  <c:v>0.38054779505581349</c:v>
                </c:pt>
                <c:pt idx="36">
                  <c:v>0.41993685193758523</c:v>
                </c:pt>
                <c:pt idx="37">
                  <c:v>0.42844425019755206</c:v>
                </c:pt>
                <c:pt idx="38">
                  <c:v>0.42708137761511178</c:v>
                </c:pt>
                <c:pt idx="39">
                  <c:v>0.42578160420669942</c:v>
                </c:pt>
                <c:pt idx="40">
                  <c:v>0.42451679099375317</c:v>
                </c:pt>
                <c:pt idx="41">
                  <c:v>0.42393257563141884</c:v>
                </c:pt>
                <c:pt idx="42">
                  <c:v>0.42303586537028126</c:v>
                </c:pt>
                <c:pt idx="43">
                  <c:v>0.42214374513725073</c:v>
                </c:pt>
                <c:pt idx="44">
                  <c:v>0.42133195051404215</c:v>
                </c:pt>
                <c:pt idx="45">
                  <c:v>0.42062927878451328</c:v>
                </c:pt>
                <c:pt idx="46">
                  <c:v>0.42457126921454891</c:v>
                </c:pt>
                <c:pt idx="47">
                  <c:v>0.42742995593517208</c:v>
                </c:pt>
                <c:pt idx="48">
                  <c:v>0.43025563637690944</c:v>
                </c:pt>
                <c:pt idx="49">
                  <c:v>0.43288463114800246</c:v>
                </c:pt>
                <c:pt idx="50">
                  <c:v>0.43550183362464157</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0.16120779967237486</c:v>
                </c:pt>
                <c:pt idx="20">
                  <c:v>0.1650958360902629</c:v>
                </c:pt>
                <c:pt idx="21">
                  <c:v>0.26201975525146737</c:v>
                </c:pt>
                <c:pt idx="22">
                  <c:v>0.28673488287563798</c:v>
                </c:pt>
                <c:pt idx="23">
                  <c:v>0.2916598899170304</c:v>
                </c:pt>
                <c:pt idx="24">
                  <c:v>0.29424060922671458</c:v>
                </c:pt>
                <c:pt idx="25">
                  <c:v>0.29581125115006557</c:v>
                </c:pt>
                <c:pt idx="26">
                  <c:v>0.30335927190463674</c:v>
                </c:pt>
                <c:pt idx="27">
                  <c:v>0.30670715972377605</c:v>
                </c:pt>
                <c:pt idx="28">
                  <c:v>0.30856267073802934</c:v>
                </c:pt>
                <c:pt idx="29">
                  <c:v>0.31543238100002513</c:v>
                </c:pt>
                <c:pt idx="30">
                  <c:v>0.32127590239026171</c:v>
                </c:pt>
                <c:pt idx="31">
                  <c:v>0.32597845323728303</c:v>
                </c:pt>
                <c:pt idx="32">
                  <c:v>0.33276731563826367</c:v>
                </c:pt>
                <c:pt idx="33">
                  <c:v>0.34079928228707201</c:v>
                </c:pt>
                <c:pt idx="34">
                  <c:v>0.35177689426581371</c:v>
                </c:pt>
                <c:pt idx="35">
                  <c:v>0.38054779505581349</c:v>
                </c:pt>
                <c:pt idx="36">
                  <c:v>0.41993685193758523</c:v>
                </c:pt>
                <c:pt idx="37">
                  <c:v>0.42844425019755206</c:v>
                </c:pt>
                <c:pt idx="38">
                  <c:v>0.42708137761511178</c:v>
                </c:pt>
                <c:pt idx="39">
                  <c:v>0.42578160420669942</c:v>
                </c:pt>
                <c:pt idx="40">
                  <c:v>0.42451679099375317</c:v>
                </c:pt>
                <c:pt idx="41">
                  <c:v>0.42393257563141884</c:v>
                </c:pt>
                <c:pt idx="42">
                  <c:v>0.42303586537028126</c:v>
                </c:pt>
                <c:pt idx="43">
                  <c:v>0.42214374513725073</c:v>
                </c:pt>
                <c:pt idx="44">
                  <c:v>0.42133195051404215</c:v>
                </c:pt>
                <c:pt idx="45">
                  <c:v>0.42062927878451328</c:v>
                </c:pt>
                <c:pt idx="46">
                  <c:v>0.42457126921454891</c:v>
                </c:pt>
                <c:pt idx="47">
                  <c:v>0.42742995593517208</c:v>
                </c:pt>
                <c:pt idx="48">
                  <c:v>0.43025563637690944</c:v>
                </c:pt>
                <c:pt idx="49">
                  <c:v>0.43288463114800246</c:v>
                </c:pt>
                <c:pt idx="50">
                  <c:v>0.43550183362464157</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5"/>
  <sheetData>
    <row r="6" spans="1:39">
      <c r="A6" t="s">
        <v>218</v>
      </c>
    </row>
    <row r="7" spans="1:39">
      <c r="A7" s="1165" t="s">
        <v>687</v>
      </c>
      <c r="B7" s="1165" t="s">
        <v>688</v>
      </c>
      <c r="C7" s="1165" t="s">
        <v>689</v>
      </c>
      <c r="D7" s="1165" t="s">
        <v>690</v>
      </c>
      <c r="E7" s="1165" t="s">
        <v>691</v>
      </c>
      <c r="F7" s="1165" t="s">
        <v>692</v>
      </c>
      <c r="G7" s="1165" t="s">
        <v>693</v>
      </c>
      <c r="H7" s="1165" t="s">
        <v>694</v>
      </c>
      <c r="I7" s="1165" t="s">
        <v>695</v>
      </c>
      <c r="J7" s="1165" t="s">
        <v>696</v>
      </c>
      <c r="K7" s="1165" t="s">
        <v>697</v>
      </c>
      <c r="L7" s="1165" t="s">
        <v>698</v>
      </c>
      <c r="M7" s="1165" t="s">
        <v>699</v>
      </c>
      <c r="N7" s="1165" t="s">
        <v>700</v>
      </c>
      <c r="O7" s="1165" t="s">
        <v>701</v>
      </c>
      <c r="P7" s="1165" t="s">
        <v>702</v>
      </c>
      <c r="Q7" s="1165" t="s">
        <v>703</v>
      </c>
      <c r="R7" s="1165" t="s">
        <v>704</v>
      </c>
      <c r="S7" s="1165" t="s">
        <v>705</v>
      </c>
      <c r="T7" s="1165" t="s">
        <v>706</v>
      </c>
      <c r="U7" s="1165" t="s">
        <v>707</v>
      </c>
      <c r="V7" s="1165" t="s">
        <v>708</v>
      </c>
      <c r="W7" s="1165" t="s">
        <v>709</v>
      </c>
      <c r="X7" s="1165" t="s">
        <v>710</v>
      </c>
      <c r="Y7" s="1165" t="s">
        <v>711</v>
      </c>
      <c r="Z7" s="1165" t="s">
        <v>712</v>
      </c>
      <c r="AA7" s="1165" t="s">
        <v>713</v>
      </c>
      <c r="AB7" s="1165" t="s">
        <v>714</v>
      </c>
      <c r="AC7" s="1165" t="s">
        <v>715</v>
      </c>
      <c r="AD7" s="1165" t="s">
        <v>716</v>
      </c>
      <c r="AE7" s="1165" t="s">
        <v>717</v>
      </c>
      <c r="AF7" s="1165" t="s">
        <v>718</v>
      </c>
      <c r="AG7" s="1165" t="s">
        <v>719</v>
      </c>
      <c r="AH7" s="1165" t="s">
        <v>720</v>
      </c>
      <c r="AI7" s="1165" t="s">
        <v>721</v>
      </c>
      <c r="AJ7" s="1165" t="s">
        <v>722</v>
      </c>
      <c r="AK7" s="1165" t="s">
        <v>723</v>
      </c>
      <c r="AL7" s="1165" t="s">
        <v>724</v>
      </c>
      <c r="AM7" s="1165"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59991.580449204266</v>
      </c>
      <c r="K8">
        <v>60682.333816399376</v>
      </c>
      <c r="L8">
        <v>61381.040636574369</v>
      </c>
      <c r="M8">
        <v>62087.792487153696</v>
      </c>
      <c r="N8">
        <v>62802.682000000023</v>
      </c>
      <c r="O8">
        <v>63421.065342005146</v>
      </c>
      <c r="P8">
        <v>64045.537563425794</v>
      </c>
      <c r="Q8">
        <v>64676.158618096451</v>
      </c>
      <c r="R8">
        <v>65312.989050183925</v>
      </c>
      <c r="S8">
        <v>65956.09</v>
      </c>
      <c r="T8">
        <v>66518.97719068767</v>
      </c>
      <c r="U8">
        <v>67086.668213583107</v>
      </c>
      <c r="V8">
        <v>67659.20406589545</v>
      </c>
      <c r="W8">
        <v>68236.62609471516</v>
      </c>
      <c r="X8">
        <v>68818.97600000001</v>
      </c>
      <c r="Y8">
        <v>69322.810489383541</v>
      </c>
      <c r="Z8">
        <v>69830.333629884059</v>
      </c>
      <c r="AA8">
        <v>70341.572426693441</v>
      </c>
      <c r="AB8">
        <v>70856.554082712813</v>
      </c>
      <c r="AC8">
        <v>71375.305999999997</v>
      </c>
      <c r="AD8">
        <v>71818.612994947311</v>
      </c>
      <c r="AE8">
        <v>72264.673338395412</v>
      </c>
      <c r="AF8">
        <v>72713.504131197798</v>
      </c>
      <c r="AG8">
        <v>73165.122580420139</v>
      </c>
      <c r="AH8">
        <v>73619.545999999973</v>
      </c>
      <c r="AI8">
        <v>73995.362001779533</v>
      </c>
      <c r="AJ8">
        <v>74373.096484110356</v>
      </c>
      <c r="AK8">
        <v>74752.759240528656</v>
      </c>
      <c r="AL8">
        <v>75134.360114565105</v>
      </c>
      <c r="AM8">
        <v>75517.908999999985</v>
      </c>
    </row>
    <row r="14" spans="1:39">
      <c r="A14" t="s">
        <v>390</v>
      </c>
    </row>
    <row r="15" spans="1:39">
      <c r="A15" s="1165" t="s">
        <v>694</v>
      </c>
      <c r="B15" s="1165" t="s">
        <v>695</v>
      </c>
      <c r="C15" s="1165" t="s">
        <v>696</v>
      </c>
      <c r="D15" s="1165" t="s">
        <v>697</v>
      </c>
      <c r="E15" s="1165" t="s">
        <v>698</v>
      </c>
      <c r="F15" s="1165" t="s">
        <v>699</v>
      </c>
      <c r="G15" s="1165" t="s">
        <v>700</v>
      </c>
      <c r="H15" s="1165" t="s">
        <v>701</v>
      </c>
      <c r="I15" s="1165" t="s">
        <v>702</v>
      </c>
      <c r="J15" s="1165" t="s">
        <v>703</v>
      </c>
      <c r="K15" s="1165" t="s">
        <v>704</v>
      </c>
      <c r="L15" s="1165" t="s">
        <v>705</v>
      </c>
      <c r="M15" s="1165" t="s">
        <v>706</v>
      </c>
      <c r="N15" s="1165" t="s">
        <v>707</v>
      </c>
      <c r="O15" s="1165" t="s">
        <v>708</v>
      </c>
      <c r="P15" s="1165" t="s">
        <v>709</v>
      </c>
      <c r="Q15" s="1165" t="s">
        <v>710</v>
      </c>
      <c r="R15" s="1165" t="s">
        <v>711</v>
      </c>
      <c r="S15" s="1165" t="s">
        <v>712</v>
      </c>
      <c r="T15" s="1165" t="s">
        <v>713</v>
      </c>
      <c r="U15" s="1165" t="s">
        <v>714</v>
      </c>
      <c r="V15" s="1165" t="s">
        <v>715</v>
      </c>
      <c r="W15" s="1165" t="s">
        <v>716</v>
      </c>
      <c r="X15" s="1165" t="s">
        <v>717</v>
      </c>
      <c r="Y15" s="1165" t="s">
        <v>718</v>
      </c>
      <c r="Z15" s="1165" t="s">
        <v>719</v>
      </c>
      <c r="AA15" s="1165" t="s">
        <v>720</v>
      </c>
      <c r="AB15" s="1165" t="s">
        <v>721</v>
      </c>
      <c r="AC15" s="1165" t="s">
        <v>722</v>
      </c>
      <c r="AD15" s="1165" t="s">
        <v>723</v>
      </c>
      <c r="AE15" s="1165" t="s">
        <v>724</v>
      </c>
      <c r="AF15" s="1165" t="s">
        <v>725</v>
      </c>
      <c r="AG15" s="1165"/>
      <c r="AH15" s="1165"/>
      <c r="AI15" s="1165"/>
      <c r="AJ15" s="1165"/>
      <c r="AK15" s="1165"/>
      <c r="AL15" s="1165"/>
      <c r="AM15" s="1165"/>
    </row>
    <row r="16" spans="1:39">
      <c r="A16">
        <v>4454.6933079776372</v>
      </c>
      <c r="B16">
        <v>4168.5687090306074</v>
      </c>
      <c r="C16">
        <v>4297.0962474291</v>
      </c>
      <c r="D16">
        <v>4398.6096135141943</v>
      </c>
      <c r="E16">
        <v>4491.3837914672167</v>
      </c>
      <c r="F16">
        <v>4591.0468432418256</v>
      </c>
      <c r="G16">
        <v>4678.7390647078637</v>
      </c>
      <c r="H16">
        <v>4759.3318943865906</v>
      </c>
      <c r="I16">
        <v>4833.4252769493587</v>
      </c>
      <c r="J16">
        <v>4919.2292537742524</v>
      </c>
      <c r="K16">
        <v>5028.6283675846353</v>
      </c>
      <c r="L16">
        <v>5124.9200809700387</v>
      </c>
      <c r="M16">
        <v>5062.3234119259168</v>
      </c>
      <c r="N16">
        <v>5235.9881649481622</v>
      </c>
      <c r="O16">
        <v>5403.9196893114931</v>
      </c>
      <c r="P16">
        <v>5610.4237500420486</v>
      </c>
      <c r="Q16">
        <v>5785.6697548645852</v>
      </c>
      <c r="R16">
        <v>5959.8602057408698</v>
      </c>
      <c r="S16">
        <v>6149.2553125491713</v>
      </c>
      <c r="T16">
        <v>6333.0462394281813</v>
      </c>
      <c r="U16">
        <v>6520.8289920741563</v>
      </c>
      <c r="V16">
        <v>6710.9821193375428</v>
      </c>
      <c r="W16">
        <v>6920.8570404241891</v>
      </c>
      <c r="X16">
        <v>7114.4180841945599</v>
      </c>
      <c r="Y16">
        <v>7308.347295357521</v>
      </c>
      <c r="Z16">
        <v>7506.518596985471</v>
      </c>
      <c r="AA16">
        <v>7710.3236783048815</v>
      </c>
      <c r="AB16">
        <v>7937.3408756753133</v>
      </c>
      <c r="AC16">
        <v>8114.689906663607</v>
      </c>
      <c r="AD16">
        <v>8296.4877206561141</v>
      </c>
      <c r="AE16">
        <v>8472.9909282566368</v>
      </c>
      <c r="AF16">
        <v>8654.8011856383091</v>
      </c>
    </row>
    <row r="23" spans="1:39">
      <c r="A23" t="s">
        <v>685</v>
      </c>
    </row>
    <row r="24" spans="1:39">
      <c r="A24" s="1165" t="s">
        <v>694</v>
      </c>
      <c r="B24" s="1165" t="s">
        <v>695</v>
      </c>
      <c r="C24" s="1165" t="s">
        <v>696</v>
      </c>
      <c r="D24" s="1165" t="s">
        <v>697</v>
      </c>
      <c r="E24" s="1165" t="s">
        <v>698</v>
      </c>
      <c r="F24" s="1165" t="s">
        <v>699</v>
      </c>
      <c r="G24" s="1165" t="s">
        <v>700</v>
      </c>
      <c r="H24" s="1165" t="s">
        <v>701</v>
      </c>
      <c r="I24" s="1165" t="s">
        <v>702</v>
      </c>
      <c r="J24" s="1165" t="s">
        <v>703</v>
      </c>
      <c r="K24" s="1165" t="s">
        <v>704</v>
      </c>
      <c r="L24" s="1165" t="s">
        <v>705</v>
      </c>
      <c r="M24" s="1165" t="s">
        <v>706</v>
      </c>
      <c r="N24" s="1165" t="s">
        <v>707</v>
      </c>
      <c r="O24" s="1165" t="s">
        <v>708</v>
      </c>
      <c r="P24" s="1165" t="s">
        <v>709</v>
      </c>
      <c r="Q24" s="1165" t="s">
        <v>710</v>
      </c>
      <c r="R24" s="1165" t="s">
        <v>711</v>
      </c>
      <c r="S24" s="1165" t="s">
        <v>712</v>
      </c>
      <c r="T24" s="1165" t="s">
        <v>713</v>
      </c>
      <c r="U24" s="1165" t="s">
        <v>714</v>
      </c>
      <c r="V24" s="1165" t="s">
        <v>715</v>
      </c>
      <c r="W24" s="1165" t="s">
        <v>716</v>
      </c>
      <c r="X24" s="1165" t="s">
        <v>717</v>
      </c>
      <c r="Y24" s="1165" t="s">
        <v>718</v>
      </c>
      <c r="Z24" s="1165" t="s">
        <v>719</v>
      </c>
      <c r="AA24" s="1165" t="s">
        <v>720</v>
      </c>
      <c r="AB24" s="1165" t="s">
        <v>721</v>
      </c>
      <c r="AC24" s="1165" t="s">
        <v>722</v>
      </c>
      <c r="AD24" s="1165" t="s">
        <v>723</v>
      </c>
      <c r="AE24" s="1165" t="s">
        <v>724</v>
      </c>
      <c r="AF24" s="1165" t="s">
        <v>725</v>
      </c>
      <c r="AG24" s="1165"/>
      <c r="AH24" s="1165"/>
      <c r="AI24" s="1165"/>
      <c r="AJ24" s="1165"/>
      <c r="AK24" s="1165"/>
      <c r="AL24" s="1165"/>
      <c r="AM24" s="1165"/>
    </row>
    <row r="25" spans="1:39">
      <c r="A25">
        <v>3066.0116715605059</v>
      </c>
      <c r="B25">
        <v>2893.3937767115403</v>
      </c>
      <c r="C25">
        <v>2889.549071097626</v>
      </c>
      <c r="D25">
        <v>2874.80512137192</v>
      </c>
      <c r="E25">
        <v>2836.8874428254476</v>
      </c>
      <c r="F25">
        <v>2849.9854290018884</v>
      </c>
      <c r="G25">
        <v>2874.7108226387854</v>
      </c>
      <c r="H25">
        <v>2772.5770833977131</v>
      </c>
      <c r="I25">
        <v>2750.9487710109879</v>
      </c>
      <c r="J25">
        <v>2765.1011117996545</v>
      </c>
      <c r="K25">
        <v>2692.8451979807219</v>
      </c>
      <c r="L25">
        <v>2633.0319912443074</v>
      </c>
      <c r="M25">
        <v>2511.587372373705</v>
      </c>
      <c r="N25">
        <v>2475.8120351472562</v>
      </c>
      <c r="O25">
        <v>2411.5655649112005</v>
      </c>
      <c r="P25">
        <v>2310.0076097126921</v>
      </c>
      <c r="Q25">
        <v>1905.1670683561601</v>
      </c>
      <c r="R25">
        <v>1397.5904670159091</v>
      </c>
      <c r="S25">
        <v>1226.3955941713382</v>
      </c>
      <c r="T25">
        <v>1076.3368250416906</v>
      </c>
      <c r="U25">
        <v>926.27805591204299</v>
      </c>
      <c r="V25">
        <v>776.2192867823951</v>
      </c>
      <c r="W25">
        <v>635.65221518145268</v>
      </c>
      <c r="X25">
        <v>495.08514358051008</v>
      </c>
      <c r="Y25">
        <v>354.51807197956748</v>
      </c>
      <c r="Z25">
        <v>213.951000378625</v>
      </c>
      <c r="AA25">
        <v>73.383928777682485</v>
      </c>
      <c r="AB25">
        <v>61.388958572870074</v>
      </c>
      <c r="AC25">
        <v>49.393988368057677</v>
      </c>
      <c r="AD25">
        <v>37.399018163245266</v>
      </c>
      <c r="AE25">
        <v>25.404047958432855</v>
      </c>
      <c r="AF25">
        <v>13.40907775362045</v>
      </c>
    </row>
    <row r="40" spans="1:5">
      <c r="A40" s="1165" t="s">
        <v>819</v>
      </c>
      <c r="B40" s="1165" t="s">
        <v>820</v>
      </c>
      <c r="C40" s="1165" t="s">
        <v>821</v>
      </c>
      <c r="D40" s="1165" t="s">
        <v>822</v>
      </c>
      <c r="E40" s="1165" t="s">
        <v>826</v>
      </c>
    </row>
    <row r="41" spans="1:5">
      <c r="A41">
        <v>-1</v>
      </c>
      <c r="B41">
        <v>-1</v>
      </c>
      <c r="C41">
        <v>-1</v>
      </c>
      <c r="D41">
        <v>1</v>
      </c>
      <c r="E41">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topLeftCell="L1" workbookViewId="0">
      <selection activeCell="AK17" sqref="AK17"/>
    </sheetView>
  </sheetViews>
  <sheetFormatPr defaultRowHeight="15"/>
  <cols>
    <col min="1" max="1" width="37.7109375" bestFit="1" customWidth="1"/>
  </cols>
  <sheetData>
    <row r="1" spans="1:45">
      <c r="A1" t="s">
        <v>671</v>
      </c>
      <c r="B1" s="1164">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16840.369470868573</v>
      </c>
      <c r="AR3">
        <v>16842.875377232984</v>
      </c>
      <c r="AS3" s="1697">
        <f ca="1">AQ3/AR3</f>
        <v>0.99985121861271986</v>
      </c>
    </row>
    <row r="4" spans="1:45">
      <c r="H4">
        <v>3</v>
      </c>
      <c r="I4">
        <f>I3-I2+I3</f>
        <v>137</v>
      </c>
      <c r="J4" t="str">
        <f t="shared" si="0"/>
        <v>W4BCH4</v>
      </c>
      <c r="K4" t="s">
        <v>678</v>
      </c>
      <c r="L4" t="s">
        <v>188</v>
      </c>
      <c r="M4">
        <v>2</v>
      </c>
      <c r="N4">
        <v>2</v>
      </c>
      <c r="AM4" s="10" t="s">
        <v>674</v>
      </c>
      <c r="AN4" t="s">
        <v>679</v>
      </c>
      <c r="AO4" t="s">
        <v>190</v>
      </c>
      <c r="AP4">
        <v>1</v>
      </c>
      <c r="AQ4">
        <f ca="1">AP4*AA16</f>
        <v>16.595053922921537</v>
      </c>
    </row>
    <row r="5" spans="1:45">
      <c r="J5" t="str">
        <f t="shared" si="0"/>
        <v>W4C2CH4</v>
      </c>
      <c r="K5" t="s">
        <v>679</v>
      </c>
      <c r="L5" t="s">
        <v>188</v>
      </c>
      <c r="M5">
        <v>6</v>
      </c>
      <c r="N5">
        <v>1</v>
      </c>
      <c r="AM5" s="10" t="s">
        <v>673</v>
      </c>
      <c r="AN5" t="s">
        <v>677</v>
      </c>
      <c r="AO5" t="s">
        <v>188</v>
      </c>
      <c r="AP5">
        <v>21</v>
      </c>
      <c r="AQ5">
        <f t="shared" ref="AQ5:AQ11" ca="1" si="1">AP5*AA17</f>
        <v>10069.933932863858</v>
      </c>
    </row>
    <row r="6" spans="1:45">
      <c r="J6" t="str">
        <f t="shared" si="0"/>
        <v>W4D1CH4</v>
      </c>
      <c r="K6" t="s">
        <v>680</v>
      </c>
      <c r="L6" t="s">
        <v>188</v>
      </c>
      <c r="M6">
        <v>8</v>
      </c>
      <c r="N6">
        <v>1</v>
      </c>
      <c r="AM6" s="10" t="s">
        <v>676</v>
      </c>
      <c r="AN6" t="s">
        <v>678</v>
      </c>
      <c r="AO6" t="s">
        <v>188</v>
      </c>
      <c r="AP6">
        <v>21</v>
      </c>
      <c r="AQ6">
        <f t="shared" ca="1" si="1"/>
        <v>798.69749095394309</v>
      </c>
    </row>
    <row r="7" spans="1:45">
      <c r="J7" t="str">
        <f t="shared" si="0"/>
        <v>W4BN2O</v>
      </c>
      <c r="K7" t="s">
        <v>678</v>
      </c>
      <c r="L7" t="s">
        <v>191</v>
      </c>
      <c r="M7">
        <v>4</v>
      </c>
      <c r="N7">
        <v>1</v>
      </c>
      <c r="AM7" s="10" t="s">
        <v>674</v>
      </c>
      <c r="AN7" t="s">
        <v>679</v>
      </c>
      <c r="AO7" t="s">
        <v>188</v>
      </c>
      <c r="AP7">
        <v>21</v>
      </c>
      <c r="AQ7">
        <f t="shared" ca="1" si="1"/>
        <v>117.2582792073886</v>
      </c>
    </row>
    <row r="8" spans="1:45">
      <c r="J8" t="str">
        <f t="shared" si="0"/>
        <v>W4C2N2O</v>
      </c>
      <c r="K8" t="s">
        <v>679</v>
      </c>
      <c r="L8" t="s">
        <v>191</v>
      </c>
      <c r="M8">
        <v>7</v>
      </c>
      <c r="N8">
        <v>1</v>
      </c>
      <c r="AM8" s="10" t="s">
        <v>675</v>
      </c>
      <c r="AN8" t="s">
        <v>680</v>
      </c>
      <c r="AO8" t="s">
        <v>188</v>
      </c>
      <c r="AP8">
        <v>21</v>
      </c>
      <c r="AQ8">
        <f t="shared" ca="1" si="1"/>
        <v>4046.0638593590638</v>
      </c>
    </row>
    <row r="9" spans="1:45">
      <c r="J9" t="str">
        <f t="shared" si="0"/>
        <v>W4D1N2O</v>
      </c>
      <c r="K9" t="s">
        <v>680</v>
      </c>
      <c r="L9" t="s">
        <v>191</v>
      </c>
      <c r="M9">
        <v>9</v>
      </c>
      <c r="N9">
        <v>1</v>
      </c>
      <c r="AM9" s="10" t="s">
        <v>676</v>
      </c>
      <c r="AN9" t="s">
        <v>678</v>
      </c>
      <c r="AO9" t="s">
        <v>191</v>
      </c>
      <c r="AP9">
        <v>310</v>
      </c>
      <c r="AQ9">
        <f t="shared" ca="1" si="1"/>
        <v>692.03913036071458</v>
      </c>
    </row>
    <row r="10" spans="1:45">
      <c r="AM10" s="10" t="s">
        <v>674</v>
      </c>
      <c r="AN10" t="s">
        <v>679</v>
      </c>
      <c r="AO10" t="s">
        <v>191</v>
      </c>
      <c r="AP10">
        <v>310</v>
      </c>
      <c r="AQ10">
        <f t="shared" ca="1" si="1"/>
        <v>24.097822786905883</v>
      </c>
    </row>
    <row r="11" spans="1:45">
      <c r="AM11" s="10" t="s">
        <v>675</v>
      </c>
      <c r="AN11" t="s">
        <v>680</v>
      </c>
      <c r="AO11" t="s">
        <v>191</v>
      </c>
      <c r="AP11">
        <v>310</v>
      </c>
      <c r="AQ11">
        <f t="shared" ca="1" si="1"/>
        <v>1075.6839014137802</v>
      </c>
    </row>
    <row r="15" spans="1:45">
      <c r="B15" s="1165"/>
      <c r="C15" s="1165"/>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s="10" t="s">
        <v>674</v>
      </c>
      <c r="B16" t="s">
        <v>679</v>
      </c>
      <c r="C16" t="s">
        <v>190</v>
      </c>
      <c r="D16" s="1163">
        <f ca="1">SUM(OFFSET('Output data (results)'!$B$10,D$15-2000,INDEX($M$2:$M$9,MATCH($B16&amp;$C16,$J$2:$J$9,0)),1,INDEX($N$2:$N$9,MATCH($B16&amp;$C16,$J$2:$J$9,0))))</f>
        <v>32.155652457135474</v>
      </c>
      <c r="E16" s="1163">
        <f ca="1">SUM(OFFSET('Output data (results)'!$B$10,E$15-2000,INDEX($M$2:$M$9,MATCH($B16&amp;$C16,$J$2:$J$9,0)),1,INDEX($N$2:$N$9,MATCH($B16&amp;$C16,$J$2:$J$9,0))))</f>
        <v>32.638684941922989</v>
      </c>
      <c r="F16" s="1163">
        <f ca="1">SUM(OFFSET('Output data (results)'!$B$10,F$15-2000,INDEX($M$2:$M$9,MATCH($B16&amp;$C16,$J$2:$J$9,0)),1,INDEX($N$2:$N$9,MATCH($B16&amp;$C16,$J$2:$J$9,0))))</f>
        <v>33.044764937208711</v>
      </c>
      <c r="G16" s="1163">
        <f ca="1">SUM(OFFSET('Output data (results)'!$B$10,G$15-2000,INDEX($M$2:$M$9,MATCH($B16&amp;$C16,$J$2:$J$9,0)),1,INDEX($N$2:$N$9,MATCH($B16&amp;$C16,$J$2:$J$9,0))))</f>
        <v>33.370161666347876</v>
      </c>
      <c r="H16" s="1163">
        <f ca="1">SUM(OFFSET('Output data (results)'!$B$10,H$15-2000,INDEX($M$2:$M$9,MATCH($B16&amp;$C16,$J$2:$J$9,0)),1,INDEX($N$2:$N$9,MATCH($B16&amp;$C16,$J$2:$J$9,0))))</f>
        <v>33.610848152350449</v>
      </c>
      <c r="I16" s="1163">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30.396018954856537</v>
      </c>
      <c r="N16" s="561">
        <f ca="1">SUM(OFFSET('Output data (results)'!$B$10,N$15-2000+INDEX($I$2:$I$4,MATCH($B$1,$H$2:$H$4,0)),INDEX($M$2:$M$9,MATCH($B16&amp;$C16,$J$2:$J$9,0)),1,INDEX($N$2:$N$9,MATCH($B16&amp;$C16,$J$2:$J$9,0))))</f>
        <v>29.615979043837584</v>
      </c>
      <c r="O16" s="561">
        <f ca="1">SUM(OFFSET('Output data (results)'!$B$10,O$15-2000+INDEX($I$2:$I$4,MATCH($B$1,$H$2:$H$4,0)),INDEX($M$2:$M$9,MATCH($B16&amp;$C16,$J$2:$J$9,0)),1,INDEX($N$2:$N$9,MATCH($B16&amp;$C16,$J$2:$J$9,0))))</f>
        <v>28.858943665621116</v>
      </c>
      <c r="P16" s="561">
        <f ca="1">SUM(OFFSET('Output data (results)'!$B$10,P$15-2000+INDEX($I$2:$I$4,MATCH($B$1,$H$2:$H$4,0)),INDEX($M$2:$M$9,MATCH($B16&amp;$C16,$J$2:$J$9,0)),1,INDEX($N$2:$N$9,MATCH($B16&amp;$C16,$J$2:$J$9,0))))</f>
        <v>28.124145318244857</v>
      </c>
      <c r="Q16" s="561">
        <f ca="1">SUM(OFFSET('Output data (results)'!$B$10,Q$15-2000+INDEX($I$2:$I$4,MATCH($B$1,$H$2:$H$4,0)),INDEX($M$2:$M$9,MATCH($B16&amp;$C16,$J$2:$J$9,0)),1,INDEX($N$2:$N$9,MATCH($B16&amp;$C16,$J$2:$J$9,0))))</f>
        <v>27.410840899092218</v>
      </c>
      <c r="R16" s="561">
        <f ca="1">SUM(OFFSET('Output data (results)'!$B$10,R$15-2000+INDEX($I$2:$I$4,MATCH($B$1,$H$2:$H$4,0)),INDEX($M$2:$M$9,MATCH($B16&amp;$C16,$J$2:$J$9,0)),1,INDEX($N$2:$N$9,MATCH($B16&amp;$C16,$J$2:$J$9,0))))</f>
        <v>26.730615383560647</v>
      </c>
      <c r="S16" s="561">
        <f ca="1">SUM(OFFSET('Output data (results)'!$B$10,S$15-2000+INDEX($I$2:$I$4,MATCH($B$1,$H$2:$H$4,0)),INDEX($M$2:$M$9,MATCH($B16&amp;$C16,$J$2:$J$9,0)),1,INDEX($N$2:$N$9,MATCH($B16&amp;$C16,$J$2:$J$9,0))))</f>
        <v>26.072991717486669</v>
      </c>
      <c r="T16" s="561">
        <f ca="1">SUM(OFFSET('Output data (results)'!$B$10,T$15-2000+INDEX($I$2:$I$4,MATCH($B$1,$H$2:$H$4,0)),INDEX($M$2:$M$9,MATCH($B16&amp;$C16,$J$2:$J$9,0)),1,INDEX($N$2:$N$9,MATCH($B16&amp;$C16,$J$2:$J$9,0))))</f>
        <v>24.643242655537975</v>
      </c>
      <c r="U16" s="561">
        <f ca="1">SUM(OFFSET('Output data (results)'!$B$10,U$15-2000+INDEX($I$2:$I$4,MATCH($B$1,$H$2:$H$4,0)),INDEX($M$2:$M$9,MATCH($B16&amp;$C16,$J$2:$J$9,0)),1,INDEX($N$2:$N$9,MATCH($B16&amp;$C16,$J$2:$J$9,0))))</f>
        <v>23.292811814782528</v>
      </c>
      <c r="V16" s="561">
        <f ca="1">SUM(OFFSET('Output data (results)'!$B$10,V$15-2000+INDEX($I$2:$I$4,MATCH($B$1,$H$2:$H$4,0)),INDEX($M$2:$M$9,MATCH($B16&amp;$C16,$J$2:$J$9,0)),1,INDEX($N$2:$N$9,MATCH($B16&amp;$C16,$J$2:$J$9,0))))</f>
        <v>22.017235682209698</v>
      </c>
      <c r="W16" s="561">
        <f ca="1">SUM(OFFSET('Output data (results)'!$B$10,W$15-2000+INDEX($I$2:$I$4,MATCH($B$1,$H$2:$H$4,0)),INDEX($M$2:$M$9,MATCH($B16&amp;$C16,$J$2:$J$9,0)),1,INDEX($N$2:$N$9,MATCH($B16&amp;$C16,$J$2:$J$9,0))))</f>
        <v>20.920945264930513</v>
      </c>
      <c r="X16" s="561">
        <f ca="1">SUM(OFFSET('Output data (results)'!$B$10,X$15-2000+INDEX($I$2:$I$4,MATCH($B$1,$H$2:$H$4,0)),INDEX($M$2:$M$9,MATCH($B16&amp;$C16,$J$2:$J$9,0)),1,INDEX($N$2:$N$9,MATCH($B16&amp;$C16,$J$2:$J$9,0))))</f>
        <v>19.830700584208724</v>
      </c>
      <c r="Y16" s="561">
        <f ca="1">SUM(OFFSET('Output data (results)'!$B$10,Y$15-2000+INDEX($I$2:$I$4,MATCH($B$1,$H$2:$H$4,0)),INDEX($M$2:$M$9,MATCH($B16&amp;$C16,$J$2:$J$9,0)),1,INDEX($N$2:$N$9,MATCH($B16&amp;$C16,$J$2:$J$9,0))))</f>
        <v>18.746381549056849</v>
      </c>
      <c r="Z16" s="561">
        <f ca="1">SUM(OFFSET('Output data (results)'!$B$10,Z$15-2000+INDEX($I$2:$I$4,MATCH($B$1,$H$2:$H$4,0)),INDEX($M$2:$M$9,MATCH($B16&amp;$C16,$J$2:$J$9,0)),1,INDEX($N$2:$N$9,MATCH($B16&amp;$C16,$J$2:$J$9,0))))</f>
        <v>17.667870858558523</v>
      </c>
      <c r="AA16" s="561">
        <f ca="1">SUM(OFFSET('Output data (results)'!$B$10,AA$15-2000+INDEX($I$2:$I$4,MATCH($B$1,$H$2:$H$4,0)),INDEX($M$2:$M$9,MATCH($B16&amp;$C16,$J$2:$J$9,0)),1,INDEX($N$2:$N$9,MATCH($B16&amp;$C16,$J$2:$J$9,0))))</f>
        <v>16.595053922921537</v>
      </c>
      <c r="AB16" s="561">
        <f ca="1">SUM(OFFSET('Output data (results)'!$B$10,AB$15-2000+INDEX($I$2:$I$4,MATCH($B$1,$H$2:$H$4,0)),INDEX($M$2:$M$9,MATCH($B16&amp;$C16,$J$2:$J$9,0)),1,INDEX($N$2:$N$9,MATCH($B16&amp;$C16,$J$2:$J$9,0))))</f>
        <v>15.533146621710603</v>
      </c>
      <c r="AC16" s="561">
        <f ca="1">SUM(OFFSET('Output data (results)'!$B$10,AC$15-2000+INDEX($I$2:$I$4,MATCH($B$1,$H$2:$H$4,0)),INDEX($M$2:$M$9,MATCH($B16&amp;$C16,$J$2:$J$9,0)),1,INDEX($N$2:$N$9,MATCH($B16&amp;$C16,$J$2:$J$9,0))))</f>
        <v>15.156233291943034</v>
      </c>
      <c r="AD16" s="561">
        <f ca="1">SUM(OFFSET('Output data (results)'!$B$10,AD$15-2000+INDEX($I$2:$I$4,MATCH($B$1,$H$2:$H$4,0)),INDEX($M$2:$M$9,MATCH($B16&amp;$C16,$J$2:$J$9,0)),1,INDEX($N$2:$N$9,MATCH($B16&amp;$C16,$J$2:$J$9,0))))</f>
        <v>14.476946652655759</v>
      </c>
      <c r="AE16" s="561">
        <f ca="1">SUM(OFFSET('Output data (results)'!$B$10,AE$15-2000+INDEX($I$2:$I$4,MATCH($B$1,$H$2:$H$4,0)),INDEX($M$2:$M$9,MATCH($B16&amp;$C16,$J$2:$J$9,0)),1,INDEX($N$2:$N$9,MATCH($B16&amp;$C16,$J$2:$J$9,0))))</f>
        <v>13.800644098157552</v>
      </c>
      <c r="AF16" s="561">
        <f ca="1">SUM(OFFSET('Output data (results)'!$B$10,AF$15-2000+INDEX($I$2:$I$4,MATCH($B$1,$H$2:$H$4,0)),INDEX($M$2:$M$9,MATCH($B16&amp;$C16,$J$2:$J$9,0)),1,INDEX($N$2:$N$9,MATCH($B16&amp;$C16,$J$2:$J$9,0))))</f>
        <v>13.127275968495754</v>
      </c>
      <c r="AG16" s="561">
        <f ca="1">SUM(OFFSET('Output data (results)'!$B$10,AG$15-2000+INDEX($I$2:$I$4,MATCH($B$1,$H$2:$H$4,0)),INDEX($M$2:$M$9,MATCH($B16&amp;$C16,$J$2:$J$9,0)),1,INDEX($N$2:$N$9,MATCH($B16&amp;$C16,$J$2:$J$9,0))))</f>
        <v>12.46053668657942</v>
      </c>
      <c r="AH16" s="561">
        <f ca="1">SUM(OFFSET('Output data (results)'!$B$10,AH$15-2000+INDEX($I$2:$I$4,MATCH($B$1,$H$2:$H$4,0)),INDEX($M$2:$M$9,MATCH($B16&amp;$C16,$J$2:$J$9,0)),1,INDEX($N$2:$N$9,MATCH($B16&amp;$C16,$J$2:$J$9,0))))</f>
        <v>11.796174689802916</v>
      </c>
      <c r="AI16" s="561">
        <f ca="1">SUM(OFFSET('Output data (results)'!$B$10,AI$15-2000+INDEX($I$2:$I$4,MATCH($B$1,$H$2:$H$4,0)),INDEX($M$2:$M$9,MATCH($B16&amp;$C16,$J$2:$J$9,0)),1,INDEX($N$2:$N$9,MATCH($B16&amp;$C16,$J$2:$J$9,0))))</f>
        <v>11.134156537847643</v>
      </c>
      <c r="AJ16" s="561">
        <f ca="1">SUM(OFFSET('Output data (results)'!$B$10,AJ$15-2000+INDEX($I$2:$I$4,MATCH($B$1,$H$2:$H$4,0)),INDEX($M$2:$M$9,MATCH($B16&amp;$C16,$J$2:$J$9,0)),1,INDEX($N$2:$N$9,MATCH($B16&amp;$C16,$J$2:$J$9,0))))</f>
        <v>10.47444933348603</v>
      </c>
      <c r="AK16" s="561">
        <f ca="1">SUM(OFFSET('Output data (results)'!$B$10,AK$15-2000+INDEX($I$2:$I$4,MATCH($B$1,$H$2:$H$4,0)),INDEX($M$2:$M$9,MATCH($B16&amp;$C16,$J$2:$J$9,0)),1,INDEX($N$2:$N$9,MATCH($B16&amp;$C16,$J$2:$J$9,0))))</f>
        <v>9.8170207118697927</v>
      </c>
      <c r="AL16" s="561">
        <f ca="1">SUM(OFFSET('Output data (results)'!$B$10,AL$15-2000+INDEX($I$2:$I$4,MATCH($B$1,$H$2:$H$4,0)),INDEX($M$2:$M$9,MATCH($B16&amp;$C16,$J$2:$J$9,0)),1,INDEX($N$2:$N$9,MATCH($B16&amp;$C16,$J$2:$J$9,0))))</f>
        <v>9.1644826462201969</v>
      </c>
      <c r="AM16" s="561">
        <f ca="1">SUM(OFFSET('Output data (results)'!$B$10,AM$15-2000+INDEX($I$2:$I$4,MATCH($B$1,$H$2:$H$4,0)),INDEX($M$2:$M$9,MATCH($B16&amp;$C16,$J$2:$J$9,0)),1,INDEX($N$2:$N$9,MATCH($B16&amp;$C16,$J$2:$J$9,0))))</f>
        <v>8.5137490095967827</v>
      </c>
      <c r="AN16" s="561">
        <f ca="1">SUM(OFFSET('Output data (results)'!$B$10,AN$15-2000+INDEX($I$2:$I$4,MATCH($B$1,$H$2:$H$4,0)),INDEX($M$2:$M$9,MATCH($B16&amp;$C16,$J$2:$J$9,0)),1,INDEX($N$2:$N$9,MATCH($B16&amp;$C16,$J$2:$J$9,0))))</f>
        <v>8.502485492904615</v>
      </c>
      <c r="AO16" s="561">
        <f ca="1">SUM(OFFSET('Output data (results)'!$B$10,AO$15-2000+INDEX($I$2:$I$4,MATCH($B$1,$H$2:$H$4,0)),INDEX($M$2:$M$9,MATCH($B16&amp;$C16,$J$2:$J$9,0)),1,INDEX($N$2:$N$9,MATCH($B16&amp;$C16,$J$2:$J$9,0))))</f>
        <v>8.491308719896784</v>
      </c>
      <c r="AP16" s="561">
        <f ca="1">SUM(OFFSET('Output data (results)'!$B$10,AP$15-2000+INDEX($I$2:$I$4,MATCH($B$1,$H$2:$H$4,0)),INDEX($M$2:$M$9,MATCH($B16&amp;$C16,$J$2:$J$9,0)),1,INDEX($N$2:$N$9,MATCH($B16&amp;$C16,$J$2:$J$9,0))))</f>
        <v>8.480217835584158</v>
      </c>
    </row>
    <row r="17" spans="1:42">
      <c r="A17" s="10" t="s">
        <v>673</v>
      </c>
      <c r="B17" t="s">
        <v>677</v>
      </c>
      <c r="C17" t="s">
        <v>188</v>
      </c>
      <c r="D17" s="1163">
        <f ca="1">SUM(OFFSET('Output data (results)'!$B$10,D$15-2000,INDEX($M$2:$M$9,MATCH($B17&amp;$C17,$J$2:$J$9,0)),1,INDEX($N$2:$N$9,MATCH($B17&amp;$C17,$J$2:$J$9,0))))</f>
        <v>907.20403046494505</v>
      </c>
      <c r="E17" s="1163">
        <f ca="1">SUM(OFFSET('Output data (results)'!$B$10,E$15-2000,INDEX($M$2:$M$9,MATCH($B17&amp;$C17,$J$2:$J$9,0)),1,INDEX($N$2:$N$9,MATCH($B17&amp;$C17,$J$2:$J$9,0))))</f>
        <v>896.16711186314876</v>
      </c>
      <c r="F17" s="1163">
        <f ca="1">SUM(OFFSET('Output data (results)'!$B$10,F$15-2000,INDEX($M$2:$M$9,MATCH($B17&amp;$C17,$J$2:$J$9,0)),1,INDEX($N$2:$N$9,MATCH($B17&amp;$C17,$J$2:$J$9,0))))</f>
        <v>883.64256829584781</v>
      </c>
      <c r="G17" s="1163">
        <f ca="1">SUM(OFFSET('Output data (results)'!$B$10,G$15-2000,INDEX($M$2:$M$9,MATCH($B17&amp;$C17,$J$2:$J$9,0)),1,INDEX($N$2:$N$9,MATCH($B17&amp;$C17,$J$2:$J$9,0))))</f>
        <v>869.71305919348606</v>
      </c>
      <c r="H17" s="1163">
        <f ca="1">SUM(OFFSET('Output data (results)'!$B$10,H$15-2000,INDEX($M$2:$M$9,MATCH($B17&amp;$C17,$J$2:$J$9,0)),1,INDEX($N$2:$N$9,MATCH($B17&amp;$C17,$J$2:$J$9,0))))</f>
        <v>854.47623809287529</v>
      </c>
      <c r="I17" s="1163">
        <f ca="1">SUM(OFFSET('Output data (results)'!$B$10,I$15-2000,INDEX($M$2:$M$9,MATCH($B17&amp;$C17,$J$2:$J$9,0)),1,INDEX($N$2:$N$9,MATCH($B17&amp;$C17,$J$2:$J$9,0))))</f>
        <v>838.02636536804357</v>
      </c>
      <c r="J17" s="561">
        <f ca="1">SUM(OFFSET('Output data (results)'!$B$10,J$15-2000+INDEX($I$2:$I$4,MATCH($B$1,$H$2:$H$4,0)),INDEX($M$2:$M$9,MATCH($B17&amp;$C17,$J$2:$J$9,0)),1,INDEX($N$2:$N$9,MATCH($B17&amp;$C17,$J$2:$J$9,0))))</f>
        <v>820.5169947820342</v>
      </c>
      <c r="K17" s="561">
        <f ca="1">SUM(OFFSET('Output data (results)'!$B$10,K$15-2000+INDEX($I$2:$I$4,MATCH($B$1,$H$2:$H$4,0)),INDEX($M$2:$M$9,MATCH($B17&amp;$C17,$J$2:$J$9,0)),1,INDEX($N$2:$N$9,MATCH($B17&amp;$C17,$J$2:$J$9,0))))</f>
        <v>801.61949135232783</v>
      </c>
      <c r="L17" s="561">
        <f ca="1">SUM(OFFSET('Output data (results)'!$B$10,L$15-2000+INDEX($I$2:$I$4,MATCH($B$1,$H$2:$H$4,0)),INDEX($M$2:$M$9,MATCH($B17&amp;$C17,$J$2:$J$9,0)),1,INDEX($N$2:$N$9,MATCH($B17&amp;$C17,$J$2:$J$9,0))))</f>
        <v>780.89298022480284</v>
      </c>
      <c r="M17" s="561">
        <f ca="1">SUM(OFFSET('Output data (results)'!$B$10,M$15-2000+INDEX($I$2:$I$4,MATCH($B$1,$H$2:$H$4,0)),INDEX($M$2:$M$9,MATCH($B17&amp;$C17,$J$2:$J$9,0)),1,INDEX($N$2:$N$9,MATCH($B17&amp;$C17,$J$2:$J$9,0))))</f>
        <v>760.27425847316988</v>
      </c>
      <c r="N17" s="561">
        <f ca="1">SUM(OFFSET('Output data (results)'!$B$10,N$15-2000+INDEX($I$2:$I$4,MATCH($B$1,$H$2:$H$4,0)),INDEX($M$2:$M$9,MATCH($B17&amp;$C17,$J$2:$J$9,0)),1,INDEX($N$2:$N$9,MATCH($B17&amp;$C17,$J$2:$J$9,0))))</f>
        <v>739.10337676720712</v>
      </c>
      <c r="O17" s="561">
        <f ca="1">SUM(OFFSET('Output data (results)'!$B$10,O$15-2000+INDEX($I$2:$I$4,MATCH($B$1,$H$2:$H$4,0)),INDEX($M$2:$M$9,MATCH($B17&amp;$C17,$J$2:$J$9,0)),1,INDEX($N$2:$N$9,MATCH($B17&amp;$C17,$J$2:$J$9,0))))</f>
        <v>717.5876499619427</v>
      </c>
      <c r="P17" s="561">
        <f ca="1">SUM(OFFSET('Output data (results)'!$B$10,P$15-2000+INDEX($I$2:$I$4,MATCH($B$1,$H$2:$H$4,0)),INDEX($M$2:$M$9,MATCH($B17&amp;$C17,$J$2:$J$9,0)),1,INDEX($N$2:$N$9,MATCH($B17&amp;$C17,$J$2:$J$9,0))))</f>
        <v>695.9591349642501</v>
      </c>
      <c r="Q17" s="561">
        <f ca="1">SUM(OFFSET('Output data (results)'!$B$10,Q$15-2000+INDEX($I$2:$I$4,MATCH($B$1,$H$2:$H$4,0)),INDEX($M$2:$M$9,MATCH($B17&amp;$C17,$J$2:$J$9,0)),1,INDEX($N$2:$N$9,MATCH($B17&amp;$C17,$J$2:$J$9,0))))</f>
        <v>674.12777421635758</v>
      </c>
      <c r="R17" s="561">
        <f ca="1">SUM(OFFSET('Output data (results)'!$B$10,R$15-2000+INDEX($I$2:$I$4,MATCH($B$1,$H$2:$H$4,0)),INDEX($M$2:$M$9,MATCH($B17&amp;$C17,$J$2:$J$9,0)),1,INDEX($N$2:$N$9,MATCH($B17&amp;$C17,$J$2:$J$9,0))))</f>
        <v>652.17314609941911</v>
      </c>
      <c r="S17" s="561">
        <f ca="1">SUM(OFFSET('Output data (results)'!$B$10,S$15-2000+INDEX($I$2:$I$4,MATCH($B$1,$H$2:$H$4,0)),INDEX($M$2:$M$9,MATCH($B17&amp;$C17,$J$2:$J$9,0)),1,INDEX($N$2:$N$9,MATCH($B17&amp;$C17,$J$2:$J$9,0))))</f>
        <v>630.65473342002326</v>
      </c>
      <c r="T17" s="561">
        <f ca="1">SUM(OFFSET('Output data (results)'!$B$10,T$15-2000+INDEX($I$2:$I$4,MATCH($B$1,$H$2:$H$4,0)),INDEX($M$2:$M$9,MATCH($B17&amp;$C17,$J$2:$J$9,0)),1,INDEX($N$2:$N$9,MATCH($B17&amp;$C17,$J$2:$J$9,0))))</f>
        <v>609.49364888683613</v>
      </c>
      <c r="U17" s="561">
        <f ca="1">SUM(OFFSET('Output data (results)'!$B$10,U$15-2000+INDEX($I$2:$I$4,MATCH($B$1,$H$2:$H$4,0)),INDEX($M$2:$M$9,MATCH($B17&amp;$C17,$J$2:$J$9,0)),1,INDEX($N$2:$N$9,MATCH($B17&amp;$C17,$J$2:$J$9,0))))</f>
        <v>589.02929657241202</v>
      </c>
      <c r="V17" s="561">
        <f ca="1">SUM(OFFSET('Output data (results)'!$B$10,V$15-2000+INDEX($I$2:$I$4,MATCH($B$1,$H$2:$H$4,0)),INDEX($M$2:$M$9,MATCH($B17&amp;$C17,$J$2:$J$9,0)),1,INDEX($N$2:$N$9,MATCH($B17&amp;$C17,$J$2:$J$9,0))))</f>
        <v>569.23928018224137</v>
      </c>
      <c r="W17" s="561">
        <f ca="1">SUM(OFFSET('Output data (results)'!$B$10,W$15-2000+INDEX($I$2:$I$4,MATCH($B$1,$H$2:$H$4,0)),INDEX($M$2:$M$9,MATCH($B17&amp;$C17,$J$2:$J$9,0)),1,INDEX($N$2:$N$9,MATCH($B17&amp;$C17,$J$2:$J$9,0))))</f>
        <v>550.10202311178875</v>
      </c>
      <c r="X17" s="561">
        <f ca="1">SUM(OFFSET('Output data (results)'!$B$10,X$15-2000+INDEX($I$2:$I$4,MATCH($B$1,$H$2:$H$4,0)),INDEX($M$2:$M$9,MATCH($B17&amp;$C17,$J$2:$J$9,0)),1,INDEX($N$2:$N$9,MATCH($B17&amp;$C17,$J$2:$J$9,0))))</f>
        <v>531.59878222356792</v>
      </c>
      <c r="Y17" s="561">
        <f ca="1">SUM(OFFSET('Output data (results)'!$B$10,Y$15-2000+INDEX($I$2:$I$4,MATCH($B$1,$H$2:$H$4,0)),INDEX($M$2:$M$9,MATCH($B17&amp;$C17,$J$2:$J$9,0)),1,INDEX($N$2:$N$9,MATCH($B17&amp;$C17,$J$2:$J$9,0))))</f>
        <v>513.69138898307904</v>
      </c>
      <c r="Z17" s="561">
        <f ca="1">SUM(OFFSET('Output data (results)'!$B$10,Z$15-2000+INDEX($I$2:$I$4,MATCH($B$1,$H$2:$H$4,0)),INDEX($M$2:$M$9,MATCH($B17&amp;$C17,$J$2:$J$9,0)),1,INDEX($N$2:$N$9,MATCH($B17&amp;$C17,$J$2:$J$9,0))))</f>
        <v>496.34353133278057</v>
      </c>
      <c r="AA17" s="561">
        <f ca="1">SUM(OFFSET('Output data (results)'!$B$10,AA$15-2000+INDEX($I$2:$I$4,MATCH($B$1,$H$2:$H$4,0)),INDEX($M$2:$M$9,MATCH($B17&amp;$C17,$J$2:$J$9,0)),1,INDEX($N$2:$N$9,MATCH($B17&amp;$C17,$J$2:$J$9,0))))</f>
        <v>479.52066346970753</v>
      </c>
      <c r="AB17" s="561">
        <f ca="1">SUM(OFFSET('Output data (results)'!$B$10,AB$15-2000+INDEX($I$2:$I$4,MATCH($B$1,$H$2:$H$4,0)),INDEX($M$2:$M$9,MATCH($B17&amp;$C17,$J$2:$J$9,0)),1,INDEX($N$2:$N$9,MATCH($B17&amp;$C17,$J$2:$J$9,0))))</f>
        <v>463.65708236062284</v>
      </c>
      <c r="AC17" s="561">
        <f ca="1">SUM(OFFSET('Output data (results)'!$B$10,AC$15-2000+INDEX($I$2:$I$4,MATCH($B$1,$H$2:$H$4,0)),INDEX($M$2:$M$9,MATCH($B17&amp;$C17,$J$2:$J$9,0)),1,INDEX($N$2:$N$9,MATCH($B17&amp;$C17,$J$2:$J$9,0))))</f>
        <v>449.72718866683437</v>
      </c>
      <c r="AD17" s="561">
        <f ca="1">SUM(OFFSET('Output data (results)'!$B$10,AD$15-2000+INDEX($I$2:$I$4,MATCH($B$1,$H$2:$H$4,0)),INDEX($M$2:$M$9,MATCH($B17&amp;$C17,$J$2:$J$9,0)),1,INDEX($N$2:$N$9,MATCH($B17&amp;$C17,$J$2:$J$9,0))))</f>
        <v>436.77597756598465</v>
      </c>
      <c r="AE17" s="561">
        <f ca="1">SUM(OFFSET('Output data (results)'!$B$10,AE$15-2000+INDEX($I$2:$I$4,MATCH($B$1,$H$2:$H$4,0)),INDEX($M$2:$M$9,MATCH($B17&amp;$C17,$J$2:$J$9,0)),1,INDEX($N$2:$N$9,MATCH($B17&amp;$C17,$J$2:$J$9,0))))</f>
        <v>424.57055322817729</v>
      </c>
      <c r="AF17" s="561">
        <f ca="1">SUM(OFFSET('Output data (results)'!$B$10,AF$15-2000+INDEX($I$2:$I$4,MATCH($B$1,$H$2:$H$4,0)),INDEX($M$2:$M$9,MATCH($B17&amp;$C17,$J$2:$J$9,0)),1,INDEX($N$2:$N$9,MATCH($B17&amp;$C17,$J$2:$J$9,0))))</f>
        <v>413.08269595347127</v>
      </c>
      <c r="AG17" s="561">
        <f ca="1">SUM(OFFSET('Output data (results)'!$B$10,AG$15-2000+INDEX($I$2:$I$4,MATCH($B$1,$H$2:$H$4,0)),INDEX($M$2:$M$9,MATCH($B17&amp;$C17,$J$2:$J$9,0)),1,INDEX($N$2:$N$9,MATCH($B17&amp;$C17,$J$2:$J$9,0))))</f>
        <v>402.28498815743177</v>
      </c>
      <c r="AH17" s="561">
        <f ca="1">SUM(OFFSET('Output data (results)'!$B$10,AH$15-2000+INDEX($I$2:$I$4,MATCH($B$1,$H$2:$H$4,0)),INDEX($M$2:$M$9,MATCH($B17&amp;$C17,$J$2:$J$9,0)),1,INDEX($N$2:$N$9,MATCH($B17&amp;$C17,$J$2:$J$9,0))))</f>
        <v>391.99884288102442</v>
      </c>
      <c r="AI17" s="561">
        <f ca="1">SUM(OFFSET('Output data (results)'!$B$10,AI$15-2000+INDEX($I$2:$I$4,MATCH($B$1,$H$2:$H$4,0)),INDEX($M$2:$M$9,MATCH($B17&amp;$C17,$J$2:$J$9,0)),1,INDEX($N$2:$N$9,MATCH($B17&amp;$C17,$J$2:$J$9,0))))</f>
        <v>382.21202818125653</v>
      </c>
      <c r="AJ17" s="561">
        <f ca="1">SUM(OFFSET('Output data (results)'!$B$10,AJ$15-2000+INDEX($I$2:$I$4,MATCH($B$1,$H$2:$H$4,0)),INDEX($M$2:$M$9,MATCH($B17&amp;$C17,$J$2:$J$9,0)),1,INDEX($N$2:$N$9,MATCH($B17&amp;$C17,$J$2:$J$9,0))))</f>
        <v>372.91454922806895</v>
      </c>
      <c r="AK17" s="561">
        <f ca="1">SUM(OFFSET('Output data (results)'!$B$10,AK$15-2000+INDEX($I$2:$I$4,MATCH($B$1,$H$2:$H$4,0)),INDEX($M$2:$M$9,MATCH($B17&amp;$C17,$J$2:$J$9,0)),1,INDEX($N$2:$N$9,MATCH($B17&amp;$C17,$J$2:$J$9,0))))</f>
        <v>364.09672514221893</v>
      </c>
      <c r="AL17" s="561">
        <f ca="1">SUM(OFFSET('Output data (results)'!$B$10,AL$15-2000+INDEX($I$2:$I$4,MATCH($B$1,$H$2:$H$4,0)),INDEX($M$2:$M$9,MATCH($B17&amp;$C17,$J$2:$J$9,0)),1,INDEX($N$2:$N$9,MATCH($B17&amp;$C17,$J$2:$J$9,0))))</f>
        <v>355.74883742100894</v>
      </c>
      <c r="AM17" s="561">
        <f ca="1">SUM(OFFSET('Output data (results)'!$B$10,AM$15-2000+INDEX($I$2:$I$4,MATCH($B$1,$H$2:$H$4,0)),INDEX($M$2:$M$9,MATCH($B17&amp;$C17,$J$2:$J$9,0)),1,INDEX($N$2:$N$9,MATCH($B17&amp;$C17,$J$2:$J$9,0))))</f>
        <v>347.38477183678401</v>
      </c>
      <c r="AN17" s="561">
        <f ca="1">SUM(OFFSET('Output data (results)'!$B$10,AN$15-2000+INDEX($I$2:$I$4,MATCH($B$1,$H$2:$H$4,0)),INDEX($M$2:$M$9,MATCH($B17&amp;$C17,$J$2:$J$9,0)),1,INDEX($N$2:$N$9,MATCH($B17&amp;$C17,$J$2:$J$9,0))))</f>
        <v>339.00520815730943</v>
      </c>
      <c r="AO17" s="561">
        <f ca="1">SUM(OFFSET('Output data (results)'!$B$10,AO$15-2000+INDEX($I$2:$I$4,MATCH($B$1,$H$2:$H$4,0)),INDEX($M$2:$M$9,MATCH($B17&amp;$C17,$J$2:$J$9,0)),1,INDEX($N$2:$N$9,MATCH($B17&amp;$C17,$J$2:$J$9,0))))</f>
        <v>330.90081221177439</v>
      </c>
      <c r="AP17" s="561">
        <f ca="1">SUM(OFFSET('Output data (results)'!$B$10,AP$15-2000+INDEX($I$2:$I$4,MATCH($B$1,$H$2:$H$4,0)),INDEX($M$2:$M$9,MATCH($B17&amp;$C17,$J$2:$J$9,0)),1,INDEX($N$2:$N$9,MATCH($B17&amp;$C17,$J$2:$J$9,0))))</f>
        <v>323.06798200137138</v>
      </c>
    </row>
    <row r="18" spans="1:42">
      <c r="A18" s="10" t="s">
        <v>676</v>
      </c>
      <c r="B18" t="s">
        <v>678</v>
      </c>
      <c r="C18" t="s">
        <v>188</v>
      </c>
      <c r="D18" s="1163">
        <f ca="1">SUM(OFFSET('Output data (results)'!$B$10,D$15-2000,INDEX($M$2:$M$9,MATCH($B18&amp;$C18,$J$2:$J$9,0)),1,INDEX($N$2:$N$9,MATCH($B18&amp;$C18,$J$2:$J$9,0))))</f>
        <v>13.700025909920411</v>
      </c>
      <c r="E18" s="1163">
        <f ca="1">SUM(OFFSET('Output data (results)'!$B$10,E$15-2000,INDEX($M$2:$M$9,MATCH($B18&amp;$C18,$J$2:$J$9,0)),1,INDEX($N$2:$N$9,MATCH($B18&amp;$C18,$J$2:$J$9,0))))</f>
        <v>14.982553884448116</v>
      </c>
      <c r="F18" s="1163">
        <f ca="1">SUM(OFFSET('Output data (results)'!$B$10,F$15-2000,INDEX($M$2:$M$9,MATCH($B18&amp;$C18,$J$2:$J$9,0)),1,INDEX($N$2:$N$9,MATCH($B18&amp;$C18,$J$2:$J$9,0))))</f>
        <v>16.152577730562747</v>
      </c>
      <c r="G18" s="1163">
        <f ca="1">SUM(OFFSET('Output data (results)'!$B$10,G$15-2000,INDEX($M$2:$M$9,MATCH($B18&amp;$C18,$J$2:$J$9,0)),1,INDEX($N$2:$N$9,MATCH($B18&amp;$C18,$J$2:$J$9,0))))</f>
        <v>17.222425195133638</v>
      </c>
      <c r="H18" s="1163">
        <f ca="1">SUM(OFFSET('Output data (results)'!$B$10,H$15-2000,INDEX($M$2:$M$9,MATCH($B18&amp;$C18,$J$2:$J$9,0)),1,INDEX($N$2:$N$9,MATCH($B18&amp;$C18,$J$2:$J$9,0))))</f>
        <v>18.188205756638162</v>
      </c>
      <c r="I18" s="1163">
        <f ca="1">SUM(OFFSET('Output data (results)'!$B$10,I$15-2000,INDEX($M$2:$M$9,MATCH($B18&amp;$C18,$J$2:$J$9,0)),1,INDEX($N$2:$N$9,MATCH($B18&amp;$C18,$J$2:$J$9,0))))</f>
        <v>19.101301929478819</v>
      </c>
      <c r="J18" s="561">
        <f ca="1">SUM(OFFSET('Output data (results)'!$B$10,J$15-2000+INDEX($I$2:$I$4,MATCH($B$1,$H$2:$H$4,0)),INDEX($M$2:$M$9,MATCH($B18&amp;$C18,$J$2:$J$9,0)),1,INDEX($N$2:$N$9,MATCH($B18&amp;$C18,$J$2:$J$9,0))))</f>
        <v>20.705334688035602</v>
      </c>
      <c r="K18" s="561">
        <f ca="1">SUM(OFFSET('Output data (results)'!$B$10,K$15-2000+INDEX($I$2:$I$4,MATCH($B$1,$H$2:$H$4,0)),INDEX($M$2:$M$9,MATCH($B18&amp;$C18,$J$2:$J$9,0)),1,INDEX($N$2:$N$9,MATCH($B18&amp;$C18,$J$2:$J$9,0))))</f>
        <v>24.611106877557447</v>
      </c>
      <c r="L18" s="561">
        <f ca="1">SUM(OFFSET('Output data (results)'!$B$10,L$15-2000+INDEX($I$2:$I$4,MATCH($B$1,$H$2:$H$4,0)),INDEX($M$2:$M$9,MATCH($B18&amp;$C18,$J$2:$J$9,0)),1,INDEX($N$2:$N$9,MATCH($B18&amp;$C18,$J$2:$J$9,0))))</f>
        <v>25.32274303441547</v>
      </c>
      <c r="M18" s="561">
        <f ca="1">SUM(OFFSET('Output data (results)'!$B$10,M$15-2000+INDEX($I$2:$I$4,MATCH($B$1,$H$2:$H$4,0)),INDEX($M$2:$M$9,MATCH($B18&amp;$C18,$J$2:$J$9,0)),1,INDEX($N$2:$N$9,MATCH($B18&amp;$C18,$J$2:$J$9,0))))</f>
        <v>26.844572265880604</v>
      </c>
      <c r="N18" s="561">
        <f ca="1">SUM(OFFSET('Output data (results)'!$B$10,N$15-2000+INDEX($I$2:$I$4,MATCH($B$1,$H$2:$H$4,0)),INDEX($M$2:$M$9,MATCH($B18&amp;$C18,$J$2:$J$9,0)),1,INDEX($N$2:$N$9,MATCH($B18&amp;$C18,$J$2:$J$9,0))))</f>
        <v>28.292939098595717</v>
      </c>
      <c r="O18" s="561">
        <f ca="1">SUM(OFFSET('Output data (results)'!$B$10,O$15-2000+INDEX($I$2:$I$4,MATCH($B$1,$H$2:$H$4,0)),INDEX($M$2:$M$9,MATCH($B18&amp;$C18,$J$2:$J$9,0)),1,INDEX($N$2:$N$9,MATCH($B18&amp;$C18,$J$2:$J$9,0))))</f>
        <v>29.871583380649842</v>
      </c>
      <c r="P18" s="561">
        <f ca="1">SUM(OFFSET('Output data (results)'!$B$10,P$15-2000+INDEX($I$2:$I$4,MATCH($B$1,$H$2:$H$4,0)),INDEX($M$2:$M$9,MATCH($B18&amp;$C18,$J$2:$J$9,0)),1,INDEX($N$2:$N$9,MATCH($B18&amp;$C18,$J$2:$J$9,0))))</f>
        <v>31.464010446050995</v>
      </c>
      <c r="Q18" s="561">
        <f ca="1">SUM(OFFSET('Output data (results)'!$B$10,Q$15-2000+INDEX($I$2:$I$4,MATCH($B$1,$H$2:$H$4,0)),INDEX($M$2:$M$9,MATCH($B18&amp;$C18,$J$2:$J$9,0)),1,INDEX($N$2:$N$9,MATCH($B18&amp;$C18,$J$2:$J$9,0))))</f>
        <v>33.03248710026736</v>
      </c>
      <c r="R18" s="561">
        <f ca="1">SUM(OFFSET('Output data (results)'!$B$10,R$15-2000+INDEX($I$2:$I$4,MATCH($B$1,$H$2:$H$4,0)),INDEX($M$2:$M$9,MATCH($B18&amp;$C18,$J$2:$J$9,0)),1,INDEX($N$2:$N$9,MATCH($B18&amp;$C18,$J$2:$J$9,0))))</f>
        <v>34.586759781318534</v>
      </c>
      <c r="S18" s="561">
        <f ca="1">SUM(OFFSET('Output data (results)'!$B$10,S$15-2000+INDEX($I$2:$I$4,MATCH($B$1,$H$2:$H$4,0)),INDEX($M$2:$M$9,MATCH($B18&amp;$C18,$J$2:$J$9,0)),1,INDEX($N$2:$N$9,MATCH($B18&amp;$C18,$J$2:$J$9,0))))</f>
        <v>36.128028817101296</v>
      </c>
      <c r="T18" s="561">
        <f ca="1">SUM(OFFSET('Output data (results)'!$B$10,T$15-2000+INDEX($I$2:$I$4,MATCH($B$1,$H$2:$H$4,0)),INDEX($M$2:$M$9,MATCH($B18&amp;$C18,$J$2:$J$9,0)),1,INDEX($N$2:$N$9,MATCH($B18&amp;$C18,$J$2:$J$9,0))))</f>
        <v>36.299699492674627</v>
      </c>
      <c r="U18" s="561">
        <f ca="1">SUM(OFFSET('Output data (results)'!$B$10,U$15-2000+INDEX($I$2:$I$4,MATCH($B$1,$H$2:$H$4,0)),INDEX($M$2:$M$9,MATCH($B18&amp;$C18,$J$2:$J$9,0)),1,INDEX($N$2:$N$9,MATCH($B18&amp;$C18,$J$2:$J$9,0))))</f>
        <v>36.518577690048609</v>
      </c>
      <c r="V18" s="561">
        <f ca="1">SUM(OFFSET('Output data (results)'!$B$10,V$15-2000+INDEX($I$2:$I$4,MATCH($B$1,$H$2:$H$4,0)),INDEX($M$2:$M$9,MATCH($B18&amp;$C18,$J$2:$J$9,0)),1,INDEX($N$2:$N$9,MATCH($B18&amp;$C18,$J$2:$J$9,0))))</f>
        <v>36.71123150518261</v>
      </c>
      <c r="W18" s="561">
        <f ca="1">SUM(OFFSET('Output data (results)'!$B$10,W$15-2000+INDEX($I$2:$I$4,MATCH($B$1,$H$2:$H$4,0)),INDEX($M$2:$M$9,MATCH($B18&amp;$C18,$J$2:$J$9,0)),1,INDEX($N$2:$N$9,MATCH($B18&amp;$C18,$J$2:$J$9,0))))</f>
        <v>36.585992409500896</v>
      </c>
      <c r="X18" s="561">
        <f ca="1">SUM(OFFSET('Output data (results)'!$B$10,X$15-2000+INDEX($I$2:$I$4,MATCH($B$1,$H$2:$H$4,0)),INDEX($M$2:$M$9,MATCH($B18&amp;$C18,$J$2:$J$9,0)),1,INDEX($N$2:$N$9,MATCH($B18&amp;$C18,$J$2:$J$9,0))))</f>
        <v>36.933448862894025</v>
      </c>
      <c r="Y18" s="561">
        <f ca="1">SUM(OFFSET('Output data (results)'!$B$10,Y$15-2000+INDEX($I$2:$I$4,MATCH($B$1,$H$2:$H$4,0)),INDEX($M$2:$M$9,MATCH($B18&amp;$C18,$J$2:$J$9,0)),1,INDEX($N$2:$N$9,MATCH($B18&amp;$C18,$J$2:$J$9,0))))</f>
        <v>37.269434668031529</v>
      </c>
      <c r="Z18" s="561">
        <f ca="1">SUM(OFFSET('Output data (results)'!$B$10,Z$15-2000+INDEX($I$2:$I$4,MATCH($B$1,$H$2:$H$4,0)),INDEX($M$2:$M$9,MATCH($B18&amp;$C18,$J$2:$J$9,0)),1,INDEX($N$2:$N$9,MATCH($B18&amp;$C18,$J$2:$J$9,0))))</f>
        <v>37.682593742075333</v>
      </c>
      <c r="AA18" s="561">
        <f ca="1">SUM(OFFSET('Output data (results)'!$B$10,AA$15-2000+INDEX($I$2:$I$4,MATCH($B$1,$H$2:$H$4,0)),INDEX($M$2:$M$9,MATCH($B18&amp;$C18,$J$2:$J$9,0)),1,INDEX($N$2:$N$9,MATCH($B18&amp;$C18,$J$2:$J$9,0))))</f>
        <v>38.033213854949672</v>
      </c>
      <c r="AB18" s="561">
        <f ca="1">SUM(OFFSET('Output data (results)'!$B$10,AB$15-2000+INDEX($I$2:$I$4,MATCH($B$1,$H$2:$H$4,0)),INDEX($M$2:$M$9,MATCH($B18&amp;$C18,$J$2:$J$9,0)),1,INDEX($N$2:$N$9,MATCH($B18&amp;$C18,$J$2:$J$9,0))))</f>
        <v>38.381722088331209</v>
      </c>
      <c r="AC18" s="561">
        <f ca="1">SUM(OFFSET('Output data (results)'!$B$10,AC$15-2000+INDEX($I$2:$I$4,MATCH($B$1,$H$2:$H$4,0)),INDEX($M$2:$M$9,MATCH($B18&amp;$C18,$J$2:$J$9,0)),1,INDEX($N$2:$N$9,MATCH($B18&amp;$C18,$J$2:$J$9,0))))</f>
        <v>38.760650748041421</v>
      </c>
      <c r="AD18" s="561">
        <f ca="1">SUM(OFFSET('Output data (results)'!$B$10,AD$15-2000+INDEX($I$2:$I$4,MATCH($B$1,$H$2:$H$4,0)),INDEX($M$2:$M$9,MATCH($B18&amp;$C18,$J$2:$J$9,0)),1,INDEX($N$2:$N$9,MATCH($B18&amp;$C18,$J$2:$J$9,0))))</f>
        <v>39.128366951288697</v>
      </c>
      <c r="AE18" s="561">
        <f ca="1">SUM(OFFSET('Output data (results)'!$B$10,AE$15-2000+INDEX($I$2:$I$4,MATCH($B$1,$H$2:$H$4,0)),INDEX($M$2:$M$9,MATCH($B18&amp;$C18,$J$2:$J$9,0)),1,INDEX($N$2:$N$9,MATCH($B18&amp;$C18,$J$2:$J$9,0))))</f>
        <v>39.504069724058091</v>
      </c>
      <c r="AF18" s="561">
        <f ca="1">SUM(OFFSET('Output data (results)'!$B$10,AF$15-2000+INDEX($I$2:$I$4,MATCH($B$1,$H$2:$H$4,0)),INDEX($M$2:$M$9,MATCH($B18&amp;$C18,$J$2:$J$9,0)),1,INDEX($N$2:$N$9,MATCH($B18&amp;$C18,$J$2:$J$9,0))))</f>
        <v>39.884514978784509</v>
      </c>
      <c r="AG18" s="561">
        <f ca="1">SUM(OFFSET('Output data (results)'!$B$10,AG$15-2000+INDEX($I$2:$I$4,MATCH($B$1,$H$2:$H$4,0)),INDEX($M$2:$M$9,MATCH($B18&amp;$C18,$J$2:$J$9,0)),1,INDEX($N$2:$N$9,MATCH($B18&amp;$C18,$J$2:$J$9,0))))</f>
        <v>40.304418237608637</v>
      </c>
      <c r="AH18" s="561">
        <f ca="1">SUM(OFFSET('Output data (results)'!$B$10,AH$15-2000+INDEX($I$2:$I$4,MATCH($B$1,$H$2:$H$4,0)),INDEX($M$2:$M$9,MATCH($B18&amp;$C18,$J$2:$J$9,0)),1,INDEX($N$2:$N$9,MATCH($B18&amp;$C18,$J$2:$J$9,0))))</f>
        <v>40.691681816504868</v>
      </c>
      <c r="AI18" s="561">
        <f ca="1">SUM(OFFSET('Output data (results)'!$B$10,AI$15-2000+INDEX($I$2:$I$4,MATCH($B$1,$H$2:$H$4,0)),INDEX($M$2:$M$9,MATCH($B18&amp;$C18,$J$2:$J$9,0)),1,INDEX($N$2:$N$9,MATCH($B18&amp;$C18,$J$2:$J$9,0))))</f>
        <v>41.07968199931328</v>
      </c>
      <c r="AJ18" s="561">
        <f ca="1">SUM(OFFSET('Output data (results)'!$B$10,AJ$15-2000+INDEX($I$2:$I$4,MATCH($B$1,$H$2:$H$4,0)),INDEX($M$2:$M$9,MATCH($B18&amp;$C18,$J$2:$J$9,0)),1,INDEX($N$2:$N$9,MATCH($B18&amp;$C18,$J$2:$J$9,0))))</f>
        <v>41.476169463981066</v>
      </c>
      <c r="AK18" s="561">
        <f ca="1">SUM(OFFSET('Output data (results)'!$B$10,AK$15-2000+INDEX($I$2:$I$4,MATCH($B$1,$H$2:$H$4,0)),INDEX($M$2:$M$9,MATCH($B18&amp;$C18,$J$2:$J$9,0)),1,INDEX($N$2:$N$9,MATCH($B18&amp;$C18,$J$2:$J$9,0))))</f>
        <v>41.883928606273287</v>
      </c>
      <c r="AL18" s="561">
        <f ca="1">SUM(OFFSET('Output data (results)'!$B$10,AL$15-2000+INDEX($I$2:$I$4,MATCH($B$1,$H$2:$H$4,0)),INDEX($M$2:$M$9,MATCH($B18&amp;$C18,$J$2:$J$9,0)),1,INDEX($N$2:$N$9,MATCH($B18&amp;$C18,$J$2:$J$9,0))))</f>
        <v>42.338128948512413</v>
      </c>
      <c r="AM18" s="561">
        <f ca="1">SUM(OFFSET('Output data (results)'!$B$10,AM$15-2000+INDEX($I$2:$I$4,MATCH($B$1,$H$2:$H$4,0)),INDEX($M$2:$M$9,MATCH($B18&amp;$C18,$J$2:$J$9,0)),1,INDEX($N$2:$N$9,MATCH($B18&amp;$C18,$J$2:$J$9,0))))</f>
        <v>42.692956651011187</v>
      </c>
      <c r="AN18" s="561">
        <f ca="1">SUM(OFFSET('Output data (results)'!$B$10,AN$15-2000+INDEX($I$2:$I$4,MATCH($B$1,$H$2:$H$4,0)),INDEX($M$2:$M$9,MATCH($B18&amp;$C18,$J$2:$J$9,0)),1,INDEX($N$2:$N$9,MATCH($B18&amp;$C18,$J$2:$J$9,0))))</f>
        <v>43.056685171538135</v>
      </c>
      <c r="AO18" s="561">
        <f ca="1">SUM(OFFSET('Output data (results)'!$B$10,AO$15-2000+INDEX($I$2:$I$4,MATCH($B$1,$H$2:$H$4,0)),INDEX($M$2:$M$9,MATCH($B18&amp;$C18,$J$2:$J$9,0)),1,INDEX($N$2:$N$9,MATCH($B18&amp;$C18,$J$2:$J$9,0))))</f>
        <v>43.409820608972197</v>
      </c>
      <c r="AP18" s="561">
        <f ca="1">SUM(OFFSET('Output data (results)'!$B$10,AP$15-2000+INDEX($I$2:$I$4,MATCH($B$1,$H$2:$H$4,0)),INDEX($M$2:$M$9,MATCH($B18&amp;$C18,$J$2:$J$9,0)),1,INDEX($N$2:$N$9,MATCH($B18&amp;$C18,$J$2:$J$9,0))))</f>
        <v>43.773574025373485</v>
      </c>
    </row>
    <row r="19" spans="1:42">
      <c r="A19" s="10" t="s">
        <v>674</v>
      </c>
      <c r="B19" t="s">
        <v>679</v>
      </c>
      <c r="C19" t="s">
        <v>188</v>
      </c>
      <c r="D19" s="1163">
        <f ca="1">SUM(OFFSET('Output data (results)'!$B$10,D$15-2000,INDEX($M$2:$M$9,MATCH($B19&amp;$C19,$J$2:$J$9,0)),1,INDEX($N$2:$N$9,MATCH($B19&amp;$C19,$J$2:$J$9,0))))</f>
        <v>10.819392594545473</v>
      </c>
      <c r="E19" s="1163">
        <f ca="1">SUM(OFFSET('Output data (results)'!$B$10,E$15-2000,INDEX($M$2:$M$9,MATCH($B19&amp;$C19,$J$2:$J$9,0)),1,INDEX($N$2:$N$9,MATCH($B19&amp;$C19,$J$2:$J$9,0))))</f>
        <v>10.981918237456981</v>
      </c>
      <c r="F19" s="1163">
        <f ca="1">SUM(OFFSET('Output data (results)'!$B$10,F$15-2000,INDEX($M$2:$M$9,MATCH($B19&amp;$C19,$J$2:$J$9,0)),1,INDEX($N$2:$N$9,MATCH($B19&amp;$C19,$J$2:$J$9,0))))</f>
        <v>11.118551723580275</v>
      </c>
      <c r="G19" s="1163">
        <f ca="1">SUM(OFFSET('Output data (results)'!$B$10,G$15-2000,INDEX($M$2:$M$9,MATCH($B19&amp;$C19,$J$2:$J$9,0)),1,INDEX($N$2:$N$9,MATCH($B19&amp;$C19,$J$2:$J$9,0))))</f>
        <v>11.228037760793502</v>
      </c>
      <c r="H19" s="1163">
        <f ca="1">SUM(OFFSET('Output data (results)'!$B$10,H$15-2000,INDEX($M$2:$M$9,MATCH($B19&amp;$C19,$J$2:$J$9,0)),1,INDEX($N$2:$N$9,MATCH($B19&amp;$C19,$J$2:$J$9,0))))</f>
        <v>11.309021394626923</v>
      </c>
      <c r="I19" s="1163">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10.227329792863893</v>
      </c>
      <c r="N19" s="561">
        <f ca="1">SUM(OFFSET('Output data (results)'!$B$10,N$15-2000+INDEX($I$2:$I$4,MATCH($B$1,$H$2:$H$4,0)),INDEX($M$2:$M$9,MATCH($B19&amp;$C19,$J$2:$J$9,0)),1,INDEX($N$2:$N$9,MATCH($B19&amp;$C19,$J$2:$J$9,0))))</f>
        <v>9.9648702440185204</v>
      </c>
      <c r="O19" s="561">
        <f ca="1">SUM(OFFSET('Output data (results)'!$B$10,O$15-2000+INDEX($I$2:$I$4,MATCH($B$1,$H$2:$H$4,0)),INDEX($M$2:$M$9,MATCH($B19&amp;$C19,$J$2:$J$9,0)),1,INDEX($N$2:$N$9,MATCH($B19&amp;$C19,$J$2:$J$9,0))))</f>
        <v>9.710151016168842</v>
      </c>
      <c r="P19" s="561">
        <f ca="1">SUM(OFFSET('Output data (results)'!$B$10,P$15-2000+INDEX($I$2:$I$4,MATCH($B$1,$H$2:$H$4,0)),INDEX($M$2:$M$9,MATCH($B19&amp;$C19,$J$2:$J$9,0)),1,INDEX($N$2:$N$9,MATCH($B19&amp;$C19,$J$2:$J$9,0))))</f>
        <v>9.462913868401909</v>
      </c>
      <c r="Q19" s="561">
        <f ca="1">SUM(OFFSET('Output data (results)'!$B$10,Q$15-2000+INDEX($I$2:$I$4,MATCH($B$1,$H$2:$H$4,0)),INDEX($M$2:$M$9,MATCH($B19&amp;$C19,$J$2:$J$9,0)),1,INDEX($N$2:$N$9,MATCH($B19&amp;$C19,$J$2:$J$9,0))))</f>
        <v>9.222908769437602</v>
      </c>
      <c r="R19" s="561">
        <f ca="1">SUM(OFFSET('Output data (results)'!$B$10,R$15-2000+INDEX($I$2:$I$4,MATCH($B$1,$H$2:$H$4,0)),INDEX($M$2:$M$9,MATCH($B19&amp;$C19,$J$2:$J$9,0)),1,INDEX($N$2:$N$9,MATCH($B19&amp;$C19,$J$2:$J$9,0))))</f>
        <v>8.9940337088188294</v>
      </c>
      <c r="S19" s="561">
        <f ca="1">SUM(OFFSET('Output data (results)'!$B$10,S$15-2000+INDEX($I$2:$I$4,MATCH($B$1,$H$2:$H$4,0)),INDEX($M$2:$M$9,MATCH($B19&amp;$C19,$J$2:$J$9,0)),1,INDEX($N$2:$N$9,MATCH($B19&amp;$C19,$J$2:$J$9,0))))</f>
        <v>8.7727634785784918</v>
      </c>
      <c r="T19" s="561">
        <f ca="1">SUM(OFFSET('Output data (results)'!$B$10,T$15-2000+INDEX($I$2:$I$4,MATCH($B$1,$H$2:$H$4,0)),INDEX($M$2:$M$9,MATCH($B19&amp;$C19,$J$2:$J$9,0)),1,INDEX($N$2:$N$9,MATCH($B19&amp;$C19,$J$2:$J$9,0))))</f>
        <v>8.2916966915329837</v>
      </c>
      <c r="U19" s="561">
        <f ca="1">SUM(OFFSET('Output data (results)'!$B$10,U$15-2000+INDEX($I$2:$I$4,MATCH($B$1,$H$2:$H$4,0)),INDEX($M$2:$M$9,MATCH($B19&amp;$C19,$J$2:$J$9,0)),1,INDEX($N$2:$N$9,MATCH($B19&amp;$C19,$J$2:$J$9,0))))</f>
        <v>7.837318057562114</v>
      </c>
      <c r="V19" s="561">
        <f ca="1">SUM(OFFSET('Output data (results)'!$B$10,V$15-2000+INDEX($I$2:$I$4,MATCH($B$1,$H$2:$H$4,0)),INDEX($M$2:$M$9,MATCH($B19&amp;$C19,$J$2:$J$9,0)),1,INDEX($N$2:$N$9,MATCH($B19&amp;$C19,$J$2:$J$9,0))))</f>
        <v>7.4081257411899131</v>
      </c>
      <c r="W19" s="561">
        <f ca="1">SUM(OFFSET('Output data (results)'!$B$10,W$15-2000+INDEX($I$2:$I$4,MATCH($B$1,$H$2:$H$4,0)),INDEX($M$2:$M$9,MATCH($B19&amp;$C19,$J$2:$J$9,0)),1,INDEX($N$2:$N$9,MATCH($B19&amp;$C19,$J$2:$J$9,0))))</f>
        <v>7.0392575791150502</v>
      </c>
      <c r="X19" s="561">
        <f ca="1">SUM(OFFSET('Output data (results)'!$B$10,X$15-2000+INDEX($I$2:$I$4,MATCH($B$1,$H$2:$H$4,0)),INDEX($M$2:$M$9,MATCH($B19&amp;$C19,$J$2:$J$9,0)),1,INDEX($N$2:$N$9,MATCH($B19&amp;$C19,$J$2:$J$9,0))))</f>
        <v>6.6724236222992763</v>
      </c>
      <c r="Y19" s="561">
        <f ca="1">SUM(OFFSET('Output data (results)'!$B$10,Y$15-2000+INDEX($I$2:$I$4,MATCH($B$1,$H$2:$H$4,0)),INDEX($M$2:$M$9,MATCH($B19&amp;$C19,$J$2:$J$9,0)),1,INDEX($N$2:$N$9,MATCH($B19&amp;$C19,$J$2:$J$9,0))))</f>
        <v>6.3075834638019295</v>
      </c>
      <c r="Z19" s="561">
        <f ca="1">SUM(OFFSET('Output data (results)'!$B$10,Z$15-2000+INDEX($I$2:$I$4,MATCH($B$1,$H$2:$H$4,0)),INDEX($M$2:$M$9,MATCH($B19&amp;$C19,$J$2:$J$9,0)),1,INDEX($N$2:$N$9,MATCH($B19&amp;$C19,$J$2:$J$9,0))))</f>
        <v>5.9446976354558663</v>
      </c>
      <c r="AA19" s="561">
        <f ca="1">SUM(OFFSET('Output data (results)'!$B$10,AA$15-2000+INDEX($I$2:$I$4,MATCH($B$1,$H$2:$H$4,0)),INDEX($M$2:$M$9,MATCH($B19&amp;$C19,$J$2:$J$9,0)),1,INDEX($N$2:$N$9,MATCH($B19&amp;$C19,$J$2:$J$9,0))))</f>
        <v>5.5837275813042186</v>
      </c>
      <c r="AB19" s="561">
        <f ca="1">SUM(OFFSET('Output data (results)'!$B$10,AB$15-2000+INDEX($I$2:$I$4,MATCH($B$1,$H$2:$H$4,0)),INDEX($M$2:$M$9,MATCH($B19&amp;$C19,$J$2:$J$9,0)),1,INDEX($N$2:$N$9,MATCH($B19&amp;$C19,$J$2:$J$9,0))))</f>
        <v>5.2264282851344142</v>
      </c>
      <c r="AC19" s="561">
        <f ca="1">SUM(OFFSET('Output data (results)'!$B$10,AC$15-2000+INDEX($I$2:$I$4,MATCH($B$1,$H$2:$H$4,0)),INDEX($M$2:$M$9,MATCH($B19&amp;$C19,$J$2:$J$9,0)),1,INDEX($N$2:$N$9,MATCH($B19&amp;$C19,$J$2:$J$9,0))))</f>
        <v>5.0996084890096478</v>
      </c>
      <c r="AD19" s="561">
        <f ca="1">SUM(OFFSET('Output data (results)'!$B$10,AD$15-2000+INDEX($I$2:$I$4,MATCH($B$1,$H$2:$H$4,0)),INDEX($M$2:$M$9,MATCH($B19&amp;$C19,$J$2:$J$9,0)),1,INDEX($N$2:$N$9,MATCH($B19&amp;$C19,$J$2:$J$9,0))))</f>
        <v>4.8710493315030332</v>
      </c>
      <c r="AE19" s="561">
        <f ca="1">SUM(OFFSET('Output data (results)'!$B$10,AE$15-2000+INDEX($I$2:$I$4,MATCH($B$1,$H$2:$H$4,0)),INDEX($M$2:$M$9,MATCH($B19&amp;$C19,$J$2:$J$9,0)),1,INDEX($N$2:$N$9,MATCH($B19&amp;$C19,$J$2:$J$9,0))))</f>
        <v>4.6434942271690707</v>
      </c>
      <c r="AF19" s="561">
        <f ca="1">SUM(OFFSET('Output data (results)'!$B$10,AF$15-2000+INDEX($I$2:$I$4,MATCH($B$1,$H$2:$H$4,0)),INDEX($M$2:$M$9,MATCH($B19&amp;$C19,$J$2:$J$9,0)),1,INDEX($N$2:$N$9,MATCH($B19&amp;$C19,$J$2:$J$9,0))))</f>
        <v>4.4169264669540507</v>
      </c>
      <c r="AG19" s="561">
        <f ca="1">SUM(OFFSET('Output data (results)'!$B$10,AG$15-2000+INDEX($I$2:$I$4,MATCH($B$1,$H$2:$H$4,0)),INDEX($M$2:$M$9,MATCH($B19&amp;$C19,$J$2:$J$9,0)),1,INDEX($N$2:$N$9,MATCH($B19&amp;$C19,$J$2:$J$9,0))))</f>
        <v>4.1925891110607356</v>
      </c>
      <c r="AH19" s="561">
        <f ca="1">SUM(OFFSET('Output data (results)'!$B$10,AH$15-2000+INDEX($I$2:$I$4,MATCH($B$1,$H$2:$H$4,0)),INDEX($M$2:$M$9,MATCH($B19&amp;$C19,$J$2:$J$9,0)),1,INDEX($N$2:$N$9,MATCH($B19&amp;$C19,$J$2:$J$9,0))))</f>
        <v>3.9690516388355039</v>
      </c>
      <c r="AI19" s="561">
        <f ca="1">SUM(OFFSET('Output data (results)'!$B$10,AI$15-2000+INDEX($I$2:$I$4,MATCH($B$1,$H$2:$H$4,0)),INDEX($M$2:$M$9,MATCH($B19&amp;$C19,$J$2:$J$9,0)),1,INDEX($N$2:$N$9,MATCH($B19&amp;$C19,$J$2:$J$9,0))))</f>
        <v>3.7463027986349324</v>
      </c>
      <c r="AJ19" s="561">
        <f ca="1">SUM(OFFSET('Output data (results)'!$B$10,AJ$15-2000+INDEX($I$2:$I$4,MATCH($B$1,$H$2:$H$4,0)),INDEX($M$2:$M$9,MATCH($B19&amp;$C19,$J$2:$J$9,0)),1,INDEX($N$2:$N$9,MATCH($B19&amp;$C19,$J$2:$J$9,0))))</f>
        <v>3.5243315215491062</v>
      </c>
      <c r="AK19" s="561">
        <f ca="1">SUM(OFFSET('Output data (results)'!$B$10,AK$15-2000+INDEX($I$2:$I$4,MATCH($B$1,$H$2:$H$4,0)),INDEX($M$2:$M$9,MATCH($B19&amp;$C19,$J$2:$J$9,0)),1,INDEX($N$2:$N$9,MATCH($B19&amp;$C19,$J$2:$J$9,0))))</f>
        <v>3.3031269177974401</v>
      </c>
      <c r="AL19" s="561">
        <f ca="1">SUM(OFFSET('Output data (results)'!$B$10,AL$15-2000+INDEX($I$2:$I$4,MATCH($B$1,$H$2:$H$4,0)),INDEX($M$2:$M$9,MATCH($B19&amp;$C19,$J$2:$J$9,0)),1,INDEX($N$2:$N$9,MATCH($B19&amp;$C19,$J$2:$J$9,0))))</f>
        <v>3.0835678364023558</v>
      </c>
      <c r="AM19" s="561">
        <f ca="1">SUM(OFFSET('Output data (results)'!$B$10,AM$15-2000+INDEX($I$2:$I$4,MATCH($B$1,$H$2:$H$4,0)),INDEX($M$2:$M$9,MATCH($B19&amp;$C19,$J$2:$J$9,0)),1,INDEX($N$2:$N$9,MATCH($B19&amp;$C19,$J$2:$J$9,0))))</f>
        <v>2.8646158901313141</v>
      </c>
      <c r="AN19" s="561">
        <f ca="1">SUM(OFFSET('Output data (results)'!$B$10,AN$15-2000+INDEX($I$2:$I$4,MATCH($B$1,$H$2:$H$4,0)),INDEX($M$2:$M$9,MATCH($B19&amp;$C19,$J$2:$J$9,0)),1,INDEX($N$2:$N$9,MATCH($B19&amp;$C19,$J$2:$J$9,0))))</f>
        <v>2.8608260616011587</v>
      </c>
      <c r="AO19" s="561">
        <f ca="1">SUM(OFFSET('Output data (results)'!$B$10,AO$15-2000+INDEX($I$2:$I$4,MATCH($B$1,$H$2:$H$4,0)),INDEX($M$2:$M$9,MATCH($B19&amp;$C19,$J$2:$J$9,0)),1,INDEX($N$2:$N$9,MATCH($B19&amp;$C19,$J$2:$J$9,0))))</f>
        <v>2.8570654196650942</v>
      </c>
      <c r="AP19" s="561">
        <f ca="1">SUM(OFFSET('Output data (results)'!$B$10,AP$15-2000+INDEX($I$2:$I$4,MATCH($B$1,$H$2:$H$4,0)),INDEX($M$2:$M$9,MATCH($B19&amp;$C19,$J$2:$J$9,0)),1,INDEX($N$2:$N$9,MATCH($B19&amp;$C19,$J$2:$J$9,0))))</f>
        <v>2.8533336766454509</v>
      </c>
    </row>
    <row r="20" spans="1:42">
      <c r="A20" s="10" t="s">
        <v>675</v>
      </c>
      <c r="B20" t="s">
        <v>680</v>
      </c>
      <c r="C20" t="s">
        <v>188</v>
      </c>
      <c r="D20" s="1163">
        <f ca="1">SUM(OFFSET('Output data (results)'!$B$10,D$15-2000,INDEX($M$2:$M$9,MATCH($B20&amp;$C20,$J$2:$J$9,0)),1,INDEX($N$2:$N$9,MATCH($B20&amp;$C20,$J$2:$J$9,0))))</f>
        <v>121.42022721713889</v>
      </c>
      <c r="E20" s="1163">
        <f ca="1">SUM(OFFSET('Output data (results)'!$B$10,E$15-2000,INDEX($M$2:$M$9,MATCH($B20&amp;$C20,$J$2:$J$9,0)),1,INDEX($N$2:$N$9,MATCH($B20&amp;$C20,$J$2:$J$9,0))))</f>
        <v>123.22777500074881</v>
      </c>
      <c r="F20" s="1163">
        <f ca="1">SUM(OFFSET('Output data (results)'!$B$10,F$15-2000,INDEX($M$2:$M$9,MATCH($B20&amp;$C20,$J$2:$J$9,0)),1,INDEX($N$2:$N$9,MATCH($B20&amp;$C20,$J$2:$J$9,0))))</f>
        <v>125.10267629930888</v>
      </c>
      <c r="G20" s="1163">
        <f ca="1">SUM(OFFSET('Output data (results)'!$B$10,G$15-2000,INDEX($M$2:$M$9,MATCH($B20&amp;$C20,$J$2:$J$9,0)),1,INDEX($N$2:$N$9,MATCH($B20&amp;$C20,$J$2:$J$9,0))))</f>
        <v>127.04753208598689</v>
      </c>
      <c r="H20" s="1163">
        <f ca="1">SUM(OFFSET('Output data (results)'!$B$10,H$15-2000,INDEX($M$2:$M$9,MATCH($B20&amp;$C20,$J$2:$J$9,0)),1,INDEX($N$2:$N$9,MATCH($B20&amp;$C20,$J$2:$J$9,0))))</f>
        <v>129.06507290384971</v>
      </c>
      <c r="I20" s="1163">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145.59752270040624</v>
      </c>
      <c r="N20" s="561">
        <f ca="1">SUM(OFFSET('Output data (results)'!$B$10,N$15-2000+INDEX($I$2:$I$4,MATCH($B$1,$H$2:$H$4,0)),INDEX($M$2:$M$9,MATCH($B20&amp;$C20,$J$2:$J$9,0)),1,INDEX($N$2:$N$9,MATCH($B20&amp;$C20,$J$2:$J$9,0))))</f>
        <v>148.88938056271107</v>
      </c>
      <c r="O20" s="561">
        <f ca="1">SUM(OFFSET('Output data (results)'!$B$10,O$15-2000+INDEX($I$2:$I$4,MATCH($B$1,$H$2:$H$4,0)),INDEX($M$2:$M$9,MATCH($B20&amp;$C20,$J$2:$J$9,0)),1,INDEX($N$2:$N$9,MATCH($B20&amp;$C20,$J$2:$J$9,0))))</f>
        <v>152.23774169979643</v>
      </c>
      <c r="P20" s="561">
        <f ca="1">SUM(OFFSET('Output data (results)'!$B$10,P$15-2000+INDEX($I$2:$I$4,MATCH($B$1,$H$2:$H$4,0)),INDEX($M$2:$M$9,MATCH($B20&amp;$C20,$J$2:$J$9,0)),1,INDEX($N$2:$N$9,MATCH($B20&amp;$C20,$J$2:$J$9,0))))</f>
        <v>155.64347086664165</v>
      </c>
      <c r="Q20" s="561">
        <f ca="1">SUM(OFFSET('Output data (results)'!$B$10,Q$15-2000+INDEX($I$2:$I$4,MATCH($B$1,$H$2:$H$4,0)),INDEX($M$2:$M$9,MATCH($B20&amp;$C20,$J$2:$J$9,0)),1,INDEX($N$2:$N$9,MATCH($B20&amp;$C20,$J$2:$J$9,0))))</f>
        <v>159.10744524111379</v>
      </c>
      <c r="R20" s="561">
        <f ca="1">SUM(OFFSET('Output data (results)'!$B$10,R$15-2000+INDEX($I$2:$I$4,MATCH($B$1,$H$2:$H$4,0)),INDEX($M$2:$M$9,MATCH($B20&amp;$C20,$J$2:$J$9,0)),1,INDEX($N$2:$N$9,MATCH($B20&amp;$C20,$J$2:$J$9,0))))</f>
        <v>162.36241909655723</v>
      </c>
      <c r="S20" s="561">
        <f ca="1">SUM(OFFSET('Output data (results)'!$B$10,S$15-2000+INDEX($I$2:$I$4,MATCH($B$1,$H$2:$H$4,0)),INDEX($M$2:$M$9,MATCH($B20&amp;$C20,$J$2:$J$9,0)),1,INDEX($N$2:$N$9,MATCH($B20&amp;$C20,$J$2:$J$9,0))))</f>
        <v>165.66606694292278</v>
      </c>
      <c r="T20" s="561">
        <f ca="1">SUM(OFFSET('Output data (results)'!$B$10,T$15-2000+INDEX($I$2:$I$4,MATCH($B$1,$H$2:$H$4,0)),INDEX($M$2:$M$9,MATCH($B20&amp;$C20,$J$2:$J$9,0)),1,INDEX($N$2:$N$9,MATCH($B20&amp;$C20,$J$2:$J$9,0))))</f>
        <v>169.01903173407416</v>
      </c>
      <c r="U20" s="561">
        <f ca="1">SUM(OFFSET('Output data (results)'!$B$10,U$15-2000+INDEX($I$2:$I$4,MATCH($B$1,$H$2:$H$4,0)),INDEX($M$2:$M$9,MATCH($B20&amp;$C20,$J$2:$J$9,0)),1,INDEX($N$2:$N$9,MATCH($B20&amp;$C20,$J$2:$J$9,0))))</f>
        <v>172.42196436643172</v>
      </c>
      <c r="V20" s="561">
        <f ca="1">SUM(OFFSET('Output data (results)'!$B$10,V$15-2000+INDEX($I$2:$I$4,MATCH($B$1,$H$2:$H$4,0)),INDEX($M$2:$M$9,MATCH($B20&amp;$C20,$J$2:$J$9,0)),1,INDEX($N$2:$N$9,MATCH($B20&amp;$C20,$J$2:$J$9,0))))</f>
        <v>175.87552377304826</v>
      </c>
      <c r="W20" s="561">
        <f ca="1">SUM(OFFSET('Output data (results)'!$B$10,W$15-2000+INDEX($I$2:$I$4,MATCH($B$1,$H$2:$H$4,0)),INDEX($M$2:$M$9,MATCH($B20&amp;$C20,$J$2:$J$9,0)),1,INDEX($N$2:$N$9,MATCH($B20&amp;$C20,$J$2:$J$9,0))))</f>
        <v>179.14729338241924</v>
      </c>
      <c r="X20" s="561">
        <f ca="1">SUM(OFFSET('Output data (results)'!$B$10,X$15-2000+INDEX($I$2:$I$4,MATCH($B$1,$H$2:$H$4,0)),INDEX($M$2:$M$9,MATCH($B20&amp;$C20,$J$2:$J$9,0)),1,INDEX($N$2:$N$9,MATCH($B20&amp;$C20,$J$2:$J$9,0))))</f>
        <v>182.4620976517032</v>
      </c>
      <c r="Y20" s="561">
        <f ca="1">SUM(OFFSET('Output data (results)'!$B$10,Y$15-2000+INDEX($I$2:$I$4,MATCH($B$1,$H$2:$H$4,0)),INDEX($M$2:$M$9,MATCH($B20&amp;$C20,$J$2:$J$9,0)),1,INDEX($N$2:$N$9,MATCH($B20&amp;$C20,$J$2:$J$9,0))))</f>
        <v>185.8204328244677</v>
      </c>
      <c r="Z20" s="561">
        <f ca="1">SUM(OFFSET('Output data (results)'!$B$10,Z$15-2000+INDEX($I$2:$I$4,MATCH($B$1,$H$2:$H$4,0)),INDEX($M$2:$M$9,MATCH($B20&amp;$C20,$J$2:$J$9,0)),1,INDEX($N$2:$N$9,MATCH($B20&amp;$C20,$J$2:$J$9,0))))</f>
        <v>189.22280048005791</v>
      </c>
      <c r="AA20" s="561">
        <f ca="1">SUM(OFFSET('Output data (results)'!$B$10,AA$15-2000+INDEX($I$2:$I$4,MATCH($B$1,$H$2:$H$4,0)),INDEX($M$2:$M$9,MATCH($B20&amp;$C20,$J$2:$J$9,0)),1,INDEX($N$2:$N$9,MATCH($B20&amp;$C20,$J$2:$J$9,0))))</f>
        <v>192.66970758852685</v>
      </c>
      <c r="AB20" s="561">
        <f ca="1">SUM(OFFSET('Output data (results)'!$B$10,AB$15-2000+INDEX($I$2:$I$4,MATCH($B$1,$H$2:$H$4,0)),INDEX($M$2:$M$9,MATCH($B20&amp;$C20,$J$2:$J$9,0)),1,INDEX($N$2:$N$9,MATCH($B20&amp;$C20,$J$2:$J$9,0))))</f>
        <v>195.92571354716031</v>
      </c>
      <c r="AC20" s="561">
        <f ca="1">SUM(OFFSET('Output data (results)'!$B$10,AC$15-2000+INDEX($I$2:$I$4,MATCH($B$1,$H$2:$H$4,0)),INDEX($M$2:$M$9,MATCH($B20&amp;$C20,$J$2:$J$9,0)),1,INDEX($N$2:$N$9,MATCH($B20&amp;$C20,$J$2:$J$9,0))))</f>
        <v>199.21906799623179</v>
      </c>
      <c r="AD20" s="561">
        <f ca="1">SUM(OFFSET('Output data (results)'!$B$10,AD$15-2000+INDEX($I$2:$I$4,MATCH($B$1,$H$2:$H$4,0)),INDEX($M$2:$M$9,MATCH($B20&amp;$C20,$J$2:$J$9,0)),1,INDEX($N$2:$N$9,MATCH($B20&amp;$C20,$J$2:$J$9,0))))</f>
        <v>202.55014328428078</v>
      </c>
      <c r="AE20" s="561">
        <f ca="1">SUM(OFFSET('Output data (results)'!$B$10,AE$15-2000+INDEX($I$2:$I$4,MATCH($B$1,$H$2:$H$4,0)),INDEX($M$2:$M$9,MATCH($B20&amp;$C20,$J$2:$J$9,0)),1,INDEX($N$2:$N$9,MATCH($B20&amp;$C20,$J$2:$J$9,0))))</f>
        <v>205.91931521003639</v>
      </c>
      <c r="AF20" s="561">
        <f ca="1">SUM(OFFSET('Output data (results)'!$B$10,AF$15-2000+INDEX($I$2:$I$4,MATCH($B$1,$H$2:$H$4,0)),INDEX($M$2:$M$9,MATCH($B20&amp;$C20,$J$2:$J$9,0)),1,INDEX($N$2:$N$9,MATCH($B20&amp;$C20,$J$2:$J$9,0))))</f>
        <v>209.32696305297864</v>
      </c>
      <c r="AG20" s="561">
        <f ca="1">SUM(OFFSET('Output data (results)'!$B$10,AG$15-2000+INDEX($I$2:$I$4,MATCH($B$1,$H$2:$H$4,0)),INDEX($M$2:$M$9,MATCH($B20&amp;$C20,$J$2:$J$9,0)),1,INDEX($N$2:$N$9,MATCH($B20&amp;$C20,$J$2:$J$9,0))))</f>
        <v>212.53895965397319</v>
      </c>
      <c r="AH20" s="561">
        <f ca="1">SUM(OFFSET('Output data (results)'!$B$10,AH$15-2000+INDEX($I$2:$I$4,MATCH($B$1,$H$2:$H$4,0)),INDEX($M$2:$M$9,MATCH($B20&amp;$C20,$J$2:$J$9,0)),1,INDEX($N$2:$N$9,MATCH($B20&amp;$C20,$J$2:$J$9,0))))</f>
        <v>215.78278030125657</v>
      </c>
      <c r="AI20" s="561">
        <f ca="1">SUM(OFFSET('Output data (results)'!$B$10,AI$15-2000+INDEX($I$2:$I$4,MATCH($B$1,$H$2:$H$4,0)),INDEX($M$2:$M$9,MATCH($B20&amp;$C20,$J$2:$J$9,0)),1,INDEX($N$2:$N$9,MATCH($B20&amp;$C20,$J$2:$J$9,0))))</f>
        <v>219.05869640380388</v>
      </c>
      <c r="AJ20" s="561">
        <f ca="1">SUM(OFFSET('Output data (results)'!$B$10,AJ$15-2000+INDEX($I$2:$I$4,MATCH($B$1,$H$2:$H$4,0)),INDEX($M$2:$M$9,MATCH($B20&amp;$C20,$J$2:$J$9,0)),1,INDEX($N$2:$N$9,MATCH($B20&amp;$C20,$J$2:$J$9,0))))</f>
        <v>222.36698151436079</v>
      </c>
      <c r="AK20" s="561">
        <f ca="1">SUM(OFFSET('Output data (results)'!$B$10,AK$15-2000+INDEX($I$2:$I$4,MATCH($B$1,$H$2:$H$4,0)),INDEX($M$2:$M$9,MATCH($B20&amp;$C20,$J$2:$J$9,0)),1,INDEX($N$2:$N$9,MATCH($B20&amp;$C20,$J$2:$J$9,0))))</f>
        <v>225.70791134560363</v>
      </c>
      <c r="AL20" s="561">
        <f ca="1">SUM(OFFSET('Output data (results)'!$B$10,AL$15-2000+INDEX($I$2:$I$4,MATCH($B$1,$H$2:$H$4,0)),INDEX($M$2:$M$9,MATCH($B20&amp;$C20,$J$2:$J$9,0)),1,INDEX($N$2:$N$9,MATCH($B20&amp;$C20,$J$2:$J$9,0))))</f>
        <v>228.82994288598573</v>
      </c>
      <c r="AM20" s="561">
        <f ca="1">SUM(OFFSET('Output data (results)'!$B$10,AM$15-2000+INDEX($I$2:$I$4,MATCH($B$1,$H$2:$H$4,0)),INDEX($M$2:$M$9,MATCH($B20&amp;$C20,$J$2:$J$9,0)),1,INDEX($N$2:$N$9,MATCH($B20&amp;$C20,$J$2:$J$9,0))))</f>
        <v>231.97796755845934</v>
      </c>
      <c r="AN20" s="561">
        <f ca="1">SUM(OFFSET('Output data (results)'!$B$10,AN$15-2000+INDEX($I$2:$I$4,MATCH($B$1,$H$2:$H$4,0)),INDEX($M$2:$M$9,MATCH($B20&amp;$C20,$J$2:$J$9,0)),1,INDEX($N$2:$N$9,MATCH($B20&amp;$C20,$J$2:$J$9,0))))</f>
        <v>235.15216938634282</v>
      </c>
      <c r="AO20" s="561">
        <f ca="1">SUM(OFFSET('Output data (results)'!$B$10,AO$15-2000+INDEX($I$2:$I$4,MATCH($B$1,$H$2:$H$4,0)),INDEX($M$2:$M$9,MATCH($B20&amp;$C20,$J$2:$J$9,0)),1,INDEX($N$2:$N$9,MATCH($B20&amp;$C20,$J$2:$J$9,0))))</f>
        <v>238.35273359440882</v>
      </c>
      <c r="AP20" s="561">
        <f ca="1">SUM(OFFSET('Output data (results)'!$B$10,AP$15-2000+INDEX($I$2:$I$4,MATCH($B$1,$H$2:$H$4,0)),INDEX($M$2:$M$9,MATCH($B20&amp;$C20,$J$2:$J$9,0)),1,INDEX($N$2:$N$9,MATCH($B20&amp;$C20,$J$2:$J$9,0))))</f>
        <v>241.57984661635467</v>
      </c>
    </row>
    <row r="21" spans="1:42">
      <c r="A21" s="10" t="s">
        <v>676</v>
      </c>
      <c r="B21" t="s">
        <v>678</v>
      </c>
      <c r="C21" t="s">
        <v>191</v>
      </c>
      <c r="D21" s="1163">
        <f ca="1">SUM(OFFSET('Output data (results)'!$B$10,D$15-2000,INDEX($M$2:$M$9,MATCH($B21&amp;$C21,$J$2:$J$9,0)),1,INDEX($N$2:$N$9,MATCH($B21&amp;$C21,$J$2:$J$9,0))))</f>
        <v>0.80950612728087734</v>
      </c>
      <c r="E21" s="1163">
        <f ca="1">SUM(OFFSET('Output data (results)'!$B$10,E$15-2000,INDEX($M$2:$M$9,MATCH($B21&amp;$C21,$J$2:$J$9,0)),1,INDEX($N$2:$N$9,MATCH($B21&amp;$C21,$J$2:$J$9,0))))</f>
        <v>0.88555342828472039</v>
      </c>
      <c r="F21" s="1163">
        <f ca="1">SUM(OFFSET('Output data (results)'!$B$10,F$15-2000,INDEX($M$2:$M$9,MATCH($B21&amp;$C21,$J$2:$J$9,0)),1,INDEX($N$2:$N$9,MATCH($B21&amp;$C21,$J$2:$J$9,0))))</f>
        <v>0.95495152833656827</v>
      </c>
      <c r="G21" s="1163">
        <f ca="1">SUM(OFFSET('Output data (results)'!$B$10,G$15-2000,INDEX($M$2:$M$9,MATCH($B21&amp;$C21,$J$2:$J$9,0)),1,INDEX($N$2:$N$9,MATCH($B21&amp;$C21,$J$2:$J$9,0))))</f>
        <v>1.01842205283452</v>
      </c>
      <c r="H21" s="1163">
        <f ca="1">SUM(OFFSET('Output data (results)'!$B$10,H$15-2000,INDEX($M$2:$M$9,MATCH($B21&amp;$C21,$J$2:$J$9,0)),1,INDEX($N$2:$N$9,MATCH($B21&amp;$C21,$J$2:$J$9,0))))</f>
        <v>1.0757345093651158</v>
      </c>
      <c r="I21" s="1163">
        <f ca="1">SUM(OFFSET('Output data (results)'!$B$10,I$15-2000,INDEX($M$2:$M$9,MATCH($B21&amp;$C21,$J$2:$J$9,0)),1,INDEX($N$2:$N$9,MATCH($B21&amp;$C21,$J$2:$J$9,0))))</f>
        <v>1.1299025045628048</v>
      </c>
      <c r="J21" s="561">
        <f ca="1">SUM(OFFSET('Output data (results)'!$B$10,J$15-2000+INDEX($I$2:$I$4,MATCH($B$1,$H$2:$H$4,0)),INDEX($M$2:$M$9,MATCH($B21&amp;$C21,$J$2:$J$9,0)),1,INDEX($N$2:$N$9,MATCH($B21&amp;$C21,$J$2:$J$9,0))))</f>
        <v>1.2230505634295874</v>
      </c>
      <c r="K21" s="561">
        <f ca="1">SUM(OFFSET('Output data (results)'!$B$10,K$15-2000+INDEX($I$2:$I$4,MATCH($B$1,$H$2:$H$4,0)),INDEX($M$2:$M$9,MATCH($B21&amp;$C21,$J$2:$J$9,0)),1,INDEX($N$2:$N$9,MATCH($B21&amp;$C21,$J$2:$J$9,0))))</f>
        <v>1.4508428556486945</v>
      </c>
      <c r="L21" s="561">
        <f ca="1">SUM(OFFSET('Output data (results)'!$B$10,L$15-2000+INDEX($I$2:$I$4,MATCH($B$1,$H$2:$H$4,0)),INDEX($M$2:$M$9,MATCH($B21&amp;$C21,$J$2:$J$9,0)),1,INDEX($N$2:$N$9,MATCH($B21&amp;$C21,$J$2:$J$9,0))))</f>
        <v>1.4908367126841111</v>
      </c>
      <c r="M21" s="561">
        <f ca="1">SUM(OFFSET('Output data (results)'!$B$10,M$15-2000+INDEX($I$2:$I$4,MATCH($B$1,$H$2:$H$4,0)),INDEX($M$2:$M$9,MATCH($B21&amp;$C21,$J$2:$J$9,0)),1,INDEX($N$2:$N$9,MATCH($B21&amp;$C21,$J$2:$J$9,0))))</f>
        <v>1.5780688430060874</v>
      </c>
      <c r="N21" s="561">
        <f ca="1">SUM(OFFSET('Output data (results)'!$B$10,N$15-2000+INDEX($I$2:$I$4,MATCH($B$1,$H$2:$H$4,0)),INDEX($M$2:$M$9,MATCH($B21&amp;$C21,$J$2:$J$9,0)),1,INDEX($N$2:$N$9,MATCH($B21&amp;$C21,$J$2:$J$9,0))))</f>
        <v>1.6606725123088792</v>
      </c>
      <c r="O21" s="561">
        <f ca="1">SUM(OFFSET('Output data (results)'!$B$10,O$15-2000+INDEX($I$2:$I$4,MATCH($B$1,$H$2:$H$4,0)),INDEX($M$2:$M$9,MATCH($B21&amp;$C21,$J$2:$J$9,0)),1,INDEX($N$2:$N$9,MATCH($B21&amp;$C21,$J$2:$J$9,0))))</f>
        <v>1.7533320679946647</v>
      </c>
      <c r="P21" s="561">
        <f ca="1">SUM(OFFSET('Output data (results)'!$B$10,P$15-2000+INDEX($I$2:$I$4,MATCH($B$1,$H$2:$H$4,0)),INDEX($M$2:$M$9,MATCH($B21&amp;$C21,$J$2:$J$9,0)),1,INDEX($N$2:$N$9,MATCH($B21&amp;$C21,$J$2:$J$9,0))))</f>
        <v>1.8468006131377757</v>
      </c>
      <c r="Q21" s="561">
        <f ca="1">SUM(OFFSET('Output data (results)'!$B$10,Q$15-2000+INDEX($I$2:$I$4,MATCH($B$1,$H$2:$H$4,0)),INDEX($M$2:$M$9,MATCH($B21&amp;$C21,$J$2:$J$9,0)),1,INDEX($N$2:$N$9,MATCH($B21&amp;$C21,$J$2:$J$9,0))))</f>
        <v>1.9388633732765626</v>
      </c>
      <c r="R21" s="561">
        <f ca="1">SUM(OFFSET('Output data (results)'!$B$10,R$15-2000+INDEX($I$2:$I$4,MATCH($B$1,$H$2:$H$4,0)),INDEX($M$2:$M$9,MATCH($B21&amp;$C21,$J$2:$J$9,0)),1,INDEX($N$2:$N$9,MATCH($B21&amp;$C21,$J$2:$J$9,0))))</f>
        <v>2.0300924219469576</v>
      </c>
      <c r="S21" s="561">
        <f ca="1">SUM(OFFSET('Output data (results)'!$B$10,S$15-2000+INDEX($I$2:$I$4,MATCH($B$1,$H$2:$H$4,0)),INDEX($M$2:$M$9,MATCH($B21&amp;$C21,$J$2:$J$9,0)),1,INDEX($N$2:$N$9,MATCH($B21&amp;$C21,$J$2:$J$9,0))))</f>
        <v>2.1205582131776852</v>
      </c>
      <c r="T21" s="561">
        <f ca="1">SUM(OFFSET('Output data (results)'!$B$10,T$15-2000+INDEX($I$2:$I$4,MATCH($B$1,$H$2:$H$4,0)),INDEX($M$2:$M$9,MATCH($B21&amp;$C21,$J$2:$J$9,0)),1,INDEX($N$2:$N$9,MATCH($B21&amp;$C21,$J$2:$J$9,0))))</f>
        <v>2.1306345354395977</v>
      </c>
      <c r="U21" s="561">
        <f ca="1">SUM(OFFSET('Output data (results)'!$B$10,U$15-2000+INDEX($I$2:$I$4,MATCH($B$1,$H$2:$H$4,0)),INDEX($M$2:$M$9,MATCH($B21&amp;$C21,$J$2:$J$9,0)),1,INDEX($N$2:$N$9,MATCH($B21&amp;$C21,$J$2:$J$9,0))))</f>
        <v>2.1434817339811141</v>
      </c>
      <c r="V21" s="561">
        <f ca="1">SUM(OFFSET('Output data (results)'!$B$10,V$15-2000+INDEX($I$2:$I$4,MATCH($B$1,$H$2:$H$4,0)),INDEX($M$2:$M$9,MATCH($B21&amp;$C21,$J$2:$J$9,0)),1,INDEX($N$2:$N$9,MATCH($B21&amp;$C21,$J$2:$J$9,0))))</f>
        <v>2.1547896753041966</v>
      </c>
      <c r="W21" s="561">
        <f ca="1">SUM(OFFSET('Output data (results)'!$B$10,W$15-2000+INDEX($I$2:$I$4,MATCH($B$1,$H$2:$H$4,0)),INDEX($M$2:$M$9,MATCH($B21&amp;$C21,$J$2:$J$9,0)),1,INDEX($N$2:$N$9,MATCH($B21&amp;$C21,$J$2:$J$9,0))))</f>
        <v>2.1474386849054872</v>
      </c>
      <c r="X21" s="561">
        <f ca="1">SUM(OFFSET('Output data (results)'!$B$10,X$15-2000+INDEX($I$2:$I$4,MATCH($B$1,$H$2:$H$4,0)),INDEX($M$2:$M$9,MATCH($B21&amp;$C21,$J$2:$J$9,0)),1,INDEX($N$2:$N$9,MATCH($B21&amp;$C21,$J$2:$J$9,0))))</f>
        <v>2.1678328680394321</v>
      </c>
      <c r="Y21" s="561">
        <f ca="1">SUM(OFFSET('Output data (results)'!$B$10,Y$15-2000+INDEX($I$2:$I$4,MATCH($B$1,$H$2:$H$4,0)),INDEX($M$2:$M$9,MATCH($B21&amp;$C21,$J$2:$J$9,0)),1,INDEX($N$2:$N$9,MATCH($B21&amp;$C21,$J$2:$J$9,0))))</f>
        <v>2.1875537739931548</v>
      </c>
      <c r="Z21" s="561">
        <f ca="1">SUM(OFFSET('Output data (results)'!$B$10,Z$15-2000+INDEX($I$2:$I$4,MATCH($B$1,$H$2:$H$4,0)),INDEX($M$2:$M$9,MATCH($B21&amp;$C21,$J$2:$J$9,0)),1,INDEX($N$2:$N$9,MATCH($B21&amp;$C21,$J$2:$J$9,0))))</f>
        <v>2.2118044152957261</v>
      </c>
      <c r="AA21" s="561">
        <f ca="1">SUM(OFFSET('Output data (results)'!$B$10,AA$15-2000+INDEX($I$2:$I$4,MATCH($B$1,$H$2:$H$4,0)),INDEX($M$2:$M$9,MATCH($B21&amp;$C21,$J$2:$J$9,0)),1,INDEX($N$2:$N$9,MATCH($B21&amp;$C21,$J$2:$J$9,0))))</f>
        <v>2.2323842914861762</v>
      </c>
      <c r="AB21" s="561">
        <f ca="1">SUM(OFFSET('Output data (results)'!$B$10,AB$15-2000+INDEX($I$2:$I$4,MATCH($B$1,$H$2:$H$4,0)),INDEX($M$2:$M$9,MATCH($B21&amp;$C21,$J$2:$J$9,0)),1,INDEX($N$2:$N$9,MATCH($B21&amp;$C21,$J$2:$J$9,0))))</f>
        <v>2.2528402095324838</v>
      </c>
      <c r="AC21" s="561">
        <f ca="1">SUM(OFFSET('Output data (results)'!$B$10,AC$15-2000+INDEX($I$2:$I$4,MATCH($B$1,$H$2:$H$4,0)),INDEX($M$2:$M$9,MATCH($B21&amp;$C21,$J$2:$J$9,0)),1,INDEX($N$2:$N$9,MATCH($B21&amp;$C21,$J$2:$J$9,0))))</f>
        <v>2.2750816743415618</v>
      </c>
      <c r="AD21" s="561">
        <f ca="1">SUM(OFFSET('Output data (results)'!$B$10,AD$15-2000+INDEX($I$2:$I$4,MATCH($B$1,$H$2:$H$4,0)),INDEX($M$2:$M$9,MATCH($B21&amp;$C21,$J$2:$J$9,0)),1,INDEX($N$2:$N$9,MATCH($B21&amp;$C21,$J$2:$J$9,0))))</f>
        <v>2.2966650167060756</v>
      </c>
      <c r="AE21" s="561">
        <f ca="1">SUM(OFFSET('Output data (results)'!$B$10,AE$15-2000+INDEX($I$2:$I$4,MATCH($B$1,$H$2:$H$4,0)),INDEX($M$2:$M$9,MATCH($B21&amp;$C21,$J$2:$J$9,0)),1,INDEX($N$2:$N$9,MATCH($B21&amp;$C21,$J$2:$J$9,0))))</f>
        <v>2.3187171359773227</v>
      </c>
      <c r="AF21" s="561">
        <f ca="1">SUM(OFFSET('Output data (results)'!$B$10,AF$15-2000+INDEX($I$2:$I$4,MATCH($B$1,$H$2:$H$4,0)),INDEX($M$2:$M$9,MATCH($B21&amp;$C21,$J$2:$J$9,0)),1,INDEX($N$2:$N$9,MATCH($B21&amp;$C21,$J$2:$J$9,0))))</f>
        <v>2.3410476183199602</v>
      </c>
      <c r="AG21" s="561">
        <f ca="1">SUM(OFFSET('Output data (results)'!$B$10,AG$15-2000+INDEX($I$2:$I$4,MATCH($B$1,$H$2:$H$4,0)),INDEX($M$2:$M$9,MATCH($B21&amp;$C21,$J$2:$J$9,0)),1,INDEX($N$2:$N$9,MATCH($B21&amp;$C21,$J$2:$J$9,0))))</f>
        <v>2.3656941139465939</v>
      </c>
      <c r="AH21" s="561">
        <f ca="1">SUM(OFFSET('Output data (results)'!$B$10,AH$15-2000+INDEX($I$2:$I$4,MATCH($B$1,$H$2:$H$4,0)),INDEX($M$2:$M$9,MATCH($B21&amp;$C21,$J$2:$J$9,0)),1,INDEX($N$2:$N$9,MATCH($B21&amp;$C21,$J$2:$J$9,0))))</f>
        <v>2.3884248022731116</v>
      </c>
      <c r="AI21" s="561">
        <f ca="1">SUM(OFFSET('Output data (results)'!$B$10,AI$15-2000+INDEX($I$2:$I$4,MATCH($B$1,$H$2:$H$4,0)),INDEX($M$2:$M$9,MATCH($B21&amp;$C21,$J$2:$J$9,0)),1,INDEX($N$2:$N$9,MATCH($B21&amp;$C21,$J$2:$J$9,0))))</f>
        <v>2.4111987260466492</v>
      </c>
      <c r="AJ21" s="561">
        <f ca="1">SUM(OFFSET('Output data (results)'!$B$10,AJ$15-2000+INDEX($I$2:$I$4,MATCH($B$1,$H$2:$H$4,0)),INDEX($M$2:$M$9,MATCH($B21&amp;$C21,$J$2:$J$9,0)),1,INDEX($N$2:$N$9,MATCH($B21&amp;$C21,$J$2:$J$9,0))))</f>
        <v>2.4344708163641062</v>
      </c>
      <c r="AK21" s="561">
        <f ca="1">SUM(OFFSET('Output data (results)'!$B$10,AK$15-2000+INDEX($I$2:$I$4,MATCH($B$1,$H$2:$H$4,0)),INDEX($M$2:$M$9,MATCH($B21&amp;$C21,$J$2:$J$9,0)),1,INDEX($N$2:$N$9,MATCH($B21&amp;$C21,$J$2:$J$9,0))))</f>
        <v>2.4584045051508232</v>
      </c>
      <c r="AL21" s="561">
        <f ca="1">SUM(OFFSET('Output data (results)'!$B$10,AL$15-2000+INDEX($I$2:$I$4,MATCH($B$1,$H$2:$H$4,0)),INDEX($M$2:$M$9,MATCH($B21&amp;$C21,$J$2:$J$9,0)),1,INDEX($N$2:$N$9,MATCH($B21&amp;$C21,$J$2:$J$9,0))))</f>
        <v>2.4850640904561638</v>
      </c>
      <c r="AM21" s="561">
        <f ca="1">SUM(OFFSET('Output data (results)'!$B$10,AM$15-2000+INDEX($I$2:$I$4,MATCH($B$1,$H$2:$H$4,0)),INDEX($M$2:$M$9,MATCH($B21&amp;$C21,$J$2:$J$9,0)),1,INDEX($N$2:$N$9,MATCH($B21&amp;$C21,$J$2:$J$9,0))))</f>
        <v>2.5058909338637001</v>
      </c>
      <c r="AN21" s="561">
        <f ca="1">SUM(OFFSET('Output data (results)'!$B$10,AN$15-2000+INDEX($I$2:$I$4,MATCH($B$1,$H$2:$H$4,0)),INDEX($M$2:$M$9,MATCH($B21&amp;$C21,$J$2:$J$9,0)),1,INDEX($N$2:$N$9,MATCH($B21&amp;$C21,$J$2:$J$9,0))))</f>
        <v>2.5272402165902821</v>
      </c>
      <c r="AO21" s="561">
        <f ca="1">SUM(OFFSET('Output data (results)'!$B$10,AO$15-2000+INDEX($I$2:$I$4,MATCH($B$1,$H$2:$H$4,0)),INDEX($M$2:$M$9,MATCH($B21&amp;$C21,$J$2:$J$9,0)),1,INDEX($N$2:$N$9,MATCH($B21&amp;$C21,$J$2:$J$9,0))))</f>
        <v>2.5479677313961941</v>
      </c>
      <c r="AP21" s="561">
        <f ca="1">SUM(OFFSET('Output data (results)'!$B$10,AP$15-2000+INDEX($I$2:$I$4,MATCH($B$1,$H$2:$H$4,0)),INDEX($M$2:$M$9,MATCH($B21&amp;$C21,$J$2:$J$9,0)),1,INDEX($N$2:$N$9,MATCH($B21&amp;$C21,$J$2:$J$9,0))))</f>
        <v>2.5693184754023566</v>
      </c>
    </row>
    <row r="22" spans="1:42">
      <c r="A22" s="10" t="s">
        <v>674</v>
      </c>
      <c r="B22" t="s">
        <v>679</v>
      </c>
      <c r="C22" t="s">
        <v>191</v>
      </c>
      <c r="D22" s="1163">
        <f ca="1">SUM(OFFSET('Output data (results)'!$B$10,D$15-2000,INDEX($M$2:$M$9,MATCH($B22&amp;$C22,$J$2:$J$9,0)),1,INDEX($N$2:$N$9,MATCH($B22&amp;$C22,$J$2:$J$9,0))))</f>
        <v>0.15062420601993221</v>
      </c>
      <c r="E22" s="1163">
        <f ca="1">SUM(OFFSET('Output data (results)'!$B$10,E$15-2000,INDEX($M$2:$M$9,MATCH($B22&amp;$C22,$J$2:$J$9,0)),1,INDEX($N$2:$N$9,MATCH($B22&amp;$C22,$J$2:$J$9,0))))</f>
        <v>0.15288683728203895</v>
      </c>
      <c r="F22" s="1163">
        <f ca="1">SUM(OFFSET('Output data (results)'!$B$10,F$15-2000,INDEX($M$2:$M$9,MATCH($B22&amp;$C22,$J$2:$J$9,0)),1,INDEX($N$2:$N$9,MATCH($B22&amp;$C22,$J$2:$J$9,0))))</f>
        <v>0.15478900602055312</v>
      </c>
      <c r="G22" s="1163">
        <f ca="1">SUM(OFFSET('Output data (results)'!$B$10,G$15-2000,INDEX($M$2:$M$9,MATCH($B22&amp;$C22,$J$2:$J$9,0)),1,INDEX($N$2:$N$9,MATCH($B22&amp;$C22,$J$2:$J$9,0))))</f>
        <v>0.15631323645044112</v>
      </c>
      <c r="H22" s="1163">
        <f ca="1">SUM(OFFSET('Output data (results)'!$B$10,H$15-2000,INDEX($M$2:$M$9,MATCH($B22&amp;$C22,$J$2:$J$9,0)),1,INDEX($N$2:$N$9,MATCH($B22&amp;$C22,$J$2:$J$9,0))))</f>
        <v>0.15744066531857534</v>
      </c>
      <c r="I22" s="1163">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0.14238169252964775</v>
      </c>
      <c r="N22" s="561">
        <f ca="1">SUM(OFFSET('Output data (results)'!$B$10,N$15-2000+INDEX($I$2:$I$4,MATCH($B$1,$H$2:$H$4,0)),INDEX($M$2:$M$9,MATCH($B22&amp;$C22,$J$2:$J$9,0)),1,INDEX($N$2:$N$9,MATCH($B22&amp;$C22,$J$2:$J$9,0))))</f>
        <v>0.13872781262726636</v>
      </c>
      <c r="O22" s="561">
        <f ca="1">SUM(OFFSET('Output data (results)'!$B$10,O$15-2000+INDEX($I$2:$I$4,MATCH($B$1,$H$2:$H$4,0)),INDEX($M$2:$M$9,MATCH($B22&amp;$C22,$J$2:$J$9,0)),1,INDEX($N$2:$N$9,MATCH($B22&amp;$C22,$J$2:$J$9,0))))</f>
        <v>0.13518169105735395</v>
      </c>
      <c r="P22" s="561">
        <f ca="1">SUM(OFFSET('Output data (results)'!$B$10,P$15-2000+INDEX($I$2:$I$4,MATCH($B$1,$H$2:$H$4,0)),INDEX($M$2:$M$9,MATCH($B22&amp;$C22,$J$2:$J$9,0)),1,INDEX($N$2:$N$9,MATCH($B22&amp;$C22,$J$2:$J$9,0))))</f>
        <v>0.13173973267054012</v>
      </c>
      <c r="Q22" s="561">
        <f ca="1">SUM(OFFSET('Output data (results)'!$B$10,Q$15-2000+INDEX($I$2:$I$4,MATCH($B$1,$H$2:$H$4,0)),INDEX($M$2:$M$9,MATCH($B22&amp;$C22,$J$2:$J$9,0)),1,INDEX($N$2:$N$9,MATCH($B22&amp;$C22,$J$2:$J$9,0))))</f>
        <v>0.1283984566093998</v>
      </c>
      <c r="R22" s="561">
        <f ca="1">SUM(OFFSET('Output data (results)'!$B$10,R$15-2000+INDEX($I$2:$I$4,MATCH($B$1,$H$2:$H$4,0)),INDEX($M$2:$M$9,MATCH($B22&amp;$C22,$J$2:$J$9,0)),1,INDEX($N$2:$N$9,MATCH($B22&amp;$C22,$J$2:$J$9,0))))</f>
        <v>0.12521212946744487</v>
      </c>
      <c r="S22" s="561">
        <f ca="1">SUM(OFFSET('Output data (results)'!$B$10,S$15-2000+INDEX($I$2:$I$4,MATCH($B$1,$H$2:$H$4,0)),INDEX($M$2:$M$9,MATCH($B22&amp;$C22,$J$2:$J$9,0)),1,INDEX($N$2:$N$9,MATCH($B22&amp;$C22,$J$2:$J$9,0))))</f>
        <v>0.12213167439988395</v>
      </c>
      <c r="T22" s="561">
        <f ca="1">SUM(OFFSET('Output data (results)'!$B$10,T$15-2000+INDEX($I$2:$I$4,MATCH($B$1,$H$2:$H$4,0)),INDEX($M$2:$M$9,MATCH($B22&amp;$C22,$J$2:$J$9,0)),1,INDEX($N$2:$N$9,MATCH($B22&amp;$C22,$J$2:$J$9,0))))</f>
        <v>0.115434412773772</v>
      </c>
      <c r="U22" s="561">
        <f ca="1">SUM(OFFSET('Output data (results)'!$B$10,U$15-2000+INDEX($I$2:$I$4,MATCH($B$1,$H$2:$H$4,0)),INDEX($M$2:$M$9,MATCH($B22&amp;$C22,$J$2:$J$9,0)),1,INDEX($N$2:$N$9,MATCH($B22&amp;$C22,$J$2:$J$9,0))))</f>
        <v>0.10910869528305192</v>
      </c>
      <c r="V22" s="561">
        <f ca="1">SUM(OFFSET('Output data (results)'!$B$10,V$15-2000+INDEX($I$2:$I$4,MATCH($B$1,$H$2:$H$4,0)),INDEX($M$2:$M$9,MATCH($B22&amp;$C22,$J$2:$J$9,0)),1,INDEX($N$2:$N$9,MATCH($B22&amp;$C22,$J$2:$J$9,0))))</f>
        <v>0.10313361384308185</v>
      </c>
      <c r="W22" s="561">
        <f ca="1">SUM(OFFSET('Output data (results)'!$B$10,W$15-2000+INDEX($I$2:$I$4,MATCH($B$1,$H$2:$H$4,0)),INDEX($M$2:$M$9,MATCH($B22&amp;$C22,$J$2:$J$9,0)),1,INDEX($N$2:$N$9,MATCH($B22&amp;$C22,$J$2:$J$9,0))))</f>
        <v>9.7998346446780099E-2</v>
      </c>
      <c r="X22" s="561">
        <f ca="1">SUM(OFFSET('Output data (results)'!$B$10,X$15-2000+INDEX($I$2:$I$4,MATCH($B$1,$H$2:$H$4,0)),INDEX($M$2:$M$9,MATCH($B22&amp;$C22,$J$2:$J$9,0)),1,INDEX($N$2:$N$9,MATCH($B22&amp;$C22,$J$2:$J$9,0))))</f>
        <v>9.2891398621041524E-2</v>
      </c>
      <c r="Y22" s="561">
        <f ca="1">SUM(OFFSET('Output data (results)'!$B$10,Y$15-2000+INDEX($I$2:$I$4,MATCH($B$1,$H$2:$H$4,0)),INDEX($M$2:$M$9,MATCH($B22&amp;$C22,$J$2:$J$9,0)),1,INDEX($N$2:$N$9,MATCH($B22&amp;$C22,$J$2:$J$9,0))))</f>
        <v>8.7812207833052797E-2</v>
      </c>
      <c r="Z22" s="561">
        <f ca="1">SUM(OFFSET('Output data (results)'!$B$10,Z$15-2000+INDEX($I$2:$I$4,MATCH($B$1,$H$2:$H$4,0)),INDEX($M$2:$M$9,MATCH($B22&amp;$C22,$J$2:$J$9,0)),1,INDEX($N$2:$N$9,MATCH($B22&amp;$C22,$J$2:$J$9,0))))</f>
        <v>8.2760224619312345E-2</v>
      </c>
      <c r="AA22" s="561">
        <f ca="1">SUM(OFFSET('Output data (results)'!$B$10,AA$15-2000+INDEX($I$2:$I$4,MATCH($B$1,$H$2:$H$4,0)),INDEX($M$2:$M$9,MATCH($B22&amp;$C22,$J$2:$J$9,0)),1,INDEX($N$2:$N$9,MATCH($B22&amp;$C22,$J$2:$J$9,0))))</f>
        <v>7.773491221582543E-2</v>
      </c>
      <c r="AB22" s="561">
        <f ca="1">SUM(OFFSET('Output data (results)'!$B$10,AB$15-2000+INDEX($I$2:$I$4,MATCH($B$1,$H$2:$H$4,0)),INDEX($M$2:$M$9,MATCH($B22&amp;$C22,$J$2:$J$9,0)),1,INDEX($N$2:$N$9,MATCH($B22&amp;$C22,$J$2:$J$9,0))))</f>
        <v>7.2760702958996254E-2</v>
      </c>
      <c r="AC22" s="561">
        <f ca="1">SUM(OFFSET('Output data (results)'!$B$10,AC$15-2000+INDEX($I$2:$I$4,MATCH($B$1,$H$2:$H$4,0)),INDEX($M$2:$M$9,MATCH($B22&amp;$C22,$J$2:$J$9,0)),1,INDEX($N$2:$N$9,MATCH($B22&amp;$C22,$J$2:$J$9,0))))</f>
        <v>7.0995157348928195E-2</v>
      </c>
      <c r="AD22" s="561">
        <f ca="1">SUM(OFFSET('Output data (results)'!$B$10,AD$15-2000+INDEX($I$2:$I$4,MATCH($B$1,$H$2:$H$4,0)),INDEX($M$2:$M$9,MATCH($B22&amp;$C22,$J$2:$J$9,0)),1,INDEX($N$2:$N$9,MATCH($B22&amp;$C22,$J$2:$J$9,0))))</f>
        <v>6.7813228111479648E-2</v>
      </c>
      <c r="AE22" s="561">
        <f ca="1">SUM(OFFSET('Output data (results)'!$B$10,AE$15-2000+INDEX($I$2:$I$4,MATCH($B$1,$H$2:$H$4,0)),INDEX($M$2:$M$9,MATCH($B22&amp;$C22,$J$2:$J$9,0)),1,INDEX($N$2:$N$9,MATCH($B22&amp;$C22,$J$2:$J$9,0))))</f>
        <v>6.46452769888477E-2</v>
      </c>
      <c r="AF22" s="561">
        <f ca="1">SUM(OFFSET('Output data (results)'!$B$10,AF$15-2000+INDEX($I$2:$I$4,MATCH($B$1,$H$2:$H$4,0)),INDEX($M$2:$M$9,MATCH($B22&amp;$C22,$J$2:$J$9,0)),1,INDEX($N$2:$N$9,MATCH($B22&amp;$C22,$J$2:$J$9,0))))</f>
        <v>6.1491071362803011E-2</v>
      </c>
      <c r="AG22" s="561">
        <f ca="1">SUM(OFFSET('Output data (results)'!$B$10,AG$15-2000+INDEX($I$2:$I$4,MATCH($B$1,$H$2:$H$4,0)),INDEX($M$2:$M$9,MATCH($B22&amp;$C22,$J$2:$J$9,0)),1,INDEX($N$2:$N$9,MATCH($B22&amp;$C22,$J$2:$J$9,0))))</f>
        <v>5.836791672942028E-2</v>
      </c>
      <c r="AH22" s="561">
        <f ca="1">SUM(OFFSET('Output data (results)'!$B$10,AH$15-2000+INDEX($I$2:$I$4,MATCH($B$1,$H$2:$H$4,0)),INDEX($M$2:$M$9,MATCH($B22&amp;$C22,$J$2:$J$9,0)),1,INDEX($N$2:$N$9,MATCH($B22&amp;$C22,$J$2:$J$9,0))))</f>
        <v>5.5255897826750736E-2</v>
      </c>
      <c r="AI22" s="561">
        <f ca="1">SUM(OFFSET('Output data (results)'!$B$10,AI$15-2000+INDEX($I$2:$I$4,MATCH($B$1,$H$2:$H$4,0)),INDEX($M$2:$M$9,MATCH($B22&amp;$C22,$J$2:$J$9,0)),1,INDEX($N$2:$N$9,MATCH($B22&amp;$C22,$J$2:$J$9,0))))</f>
        <v>5.2154858012927324E-2</v>
      </c>
      <c r="AJ22" s="561">
        <f ca="1">SUM(OFFSET('Output data (results)'!$B$10,AJ$15-2000+INDEX($I$2:$I$4,MATCH($B$1,$H$2:$H$4,0)),INDEX($M$2:$M$9,MATCH($B22&amp;$C22,$J$2:$J$9,0)),1,INDEX($N$2:$N$9,MATCH($B22&amp;$C22,$J$2:$J$9,0))))</f>
        <v>4.9064643190041744E-2</v>
      </c>
      <c r="AK22" s="561">
        <f ca="1">SUM(OFFSET('Output data (results)'!$B$10,AK$15-2000+INDEX($I$2:$I$4,MATCH($B$1,$H$2:$H$4,0)),INDEX($M$2:$M$9,MATCH($B22&amp;$C22,$J$2:$J$9,0)),1,INDEX($N$2:$N$9,MATCH($B22&amp;$C22,$J$2:$J$9,0))))</f>
        <v>4.5985101753968347E-2</v>
      </c>
      <c r="AL22" s="561">
        <f ca="1">SUM(OFFSET('Output data (results)'!$B$10,AL$15-2000+INDEX($I$2:$I$4,MATCH($B$1,$H$2:$H$4,0)),INDEX($M$2:$M$9,MATCH($B22&amp;$C22,$J$2:$J$9,0)),1,INDEX($N$2:$N$9,MATCH($B22&amp;$C22,$J$2:$J$9,0))))</f>
        <v>4.2928468766431443E-2</v>
      </c>
      <c r="AM22" s="561">
        <f ca="1">SUM(OFFSET('Output data (results)'!$B$10,AM$15-2000+INDEX($I$2:$I$4,MATCH($B$1,$H$2:$H$4,0)),INDEX($M$2:$M$9,MATCH($B22&amp;$C22,$J$2:$J$9,0)),1,INDEX($N$2:$N$9,MATCH($B22&amp;$C22,$J$2:$J$9,0))))</f>
        <v>3.9880288124551327E-2</v>
      </c>
      <c r="AN22" s="561">
        <f ca="1">SUM(OFFSET('Output data (results)'!$B$10,AN$15-2000+INDEX($I$2:$I$4,MATCH($B$1,$H$2:$H$4,0)),INDEX($M$2:$M$9,MATCH($B22&amp;$C22,$J$2:$J$9,0)),1,INDEX($N$2:$N$9,MATCH($B22&amp;$C22,$J$2:$J$9,0))))</f>
        <v>3.9827527314892378E-2</v>
      </c>
      <c r="AO22" s="561">
        <f ca="1">SUM(OFFSET('Output data (results)'!$B$10,AO$15-2000+INDEX($I$2:$I$4,MATCH($B$1,$H$2:$H$4,0)),INDEX($M$2:$M$9,MATCH($B22&amp;$C22,$J$2:$J$9,0)),1,INDEX($N$2:$N$9,MATCH($B22&amp;$C22,$J$2:$J$9,0))))</f>
        <v>3.9775172831884656E-2</v>
      </c>
      <c r="AP22" s="561">
        <f ca="1">SUM(OFFSET('Output data (results)'!$B$10,AP$15-2000+INDEX($I$2:$I$4,MATCH($B$1,$H$2:$H$4,0)),INDEX($M$2:$M$9,MATCH($B22&amp;$C22,$J$2:$J$9,0)),1,INDEX($N$2:$N$9,MATCH($B22&amp;$C22,$J$2:$J$9,0))))</f>
        <v>3.9723220670569465E-2</v>
      </c>
    </row>
    <row r="23" spans="1:42">
      <c r="A23" s="10" t="s">
        <v>675</v>
      </c>
      <c r="B23" t="s">
        <v>680</v>
      </c>
      <c r="C23" t="s">
        <v>191</v>
      </c>
      <c r="D23" s="1163">
        <f ca="1">SUM(OFFSET('Output data (results)'!$B$10,D$15-2000,INDEX($M$2:$M$9,MATCH($B23&amp;$C23,$J$2:$J$9,0)),1,INDEX($N$2:$N$9,MATCH($B23&amp;$C23,$J$2:$J$9,0))))</f>
        <v>2.6383207851384207</v>
      </c>
      <c r="E23" s="1163">
        <f ca="1">SUM(OFFSET('Output data (results)'!$B$10,E$15-2000,INDEX($M$2:$M$9,MATCH($B23&amp;$C23,$J$2:$J$9,0)),1,INDEX($N$2:$N$9,MATCH($B23&amp;$C23,$J$2:$J$9,0))))</f>
        <v>2.6775967031376564</v>
      </c>
      <c r="F23" s="1163">
        <f ca="1">SUM(OFFSET('Output data (results)'!$B$10,F$15-2000,INDEX($M$2:$M$9,MATCH($B23&amp;$C23,$J$2:$J$9,0)),1,INDEX($N$2:$N$9,MATCH($B23&amp;$C23,$J$2:$J$9,0))))</f>
        <v>2.718336134939475</v>
      </c>
      <c r="G23" s="1163">
        <f ca="1">SUM(OFFSET('Output data (results)'!$B$10,G$15-2000,INDEX($M$2:$M$9,MATCH($B23&amp;$C23,$J$2:$J$9,0)),1,INDEX($N$2:$N$9,MATCH($B23&amp;$C23,$J$2:$J$9,0))))</f>
        <v>2.7605955966757243</v>
      </c>
      <c r="H23" s="1163">
        <f ca="1">SUM(OFFSET('Output data (results)'!$B$10,H$15-2000,INDEX($M$2:$M$9,MATCH($B23&amp;$C23,$J$2:$J$9,0)),1,INDEX($N$2:$N$9,MATCH($B23&amp;$C23,$J$2:$J$9,0))))</f>
        <v>2.804434419881956</v>
      </c>
      <c r="I23" s="1163">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3.0248585614028385</v>
      </c>
      <c r="N23" s="561">
        <f ca="1">SUM(OFFSET('Output data (results)'!$B$10,N$15-2000+INDEX($I$2:$I$4,MATCH($B$1,$H$2:$H$4,0)),INDEX($M$2:$M$9,MATCH($B23&amp;$C23,$J$2:$J$9,0)),1,INDEX($N$2:$N$9,MATCH($B23&amp;$C23,$J$2:$J$9,0))))</f>
        <v>3.0596873027184164</v>
      </c>
      <c r="O23" s="561">
        <f ca="1">SUM(OFFSET('Output data (results)'!$B$10,O$15-2000+INDEX($I$2:$I$4,MATCH($B$1,$H$2:$H$4,0)),INDEX($M$2:$M$9,MATCH($B23&amp;$C23,$J$2:$J$9,0)),1,INDEX($N$2:$N$9,MATCH($B23&amp;$C23,$J$2:$J$9,0))))</f>
        <v>3.0949170681470224</v>
      </c>
      <c r="P23" s="561">
        <f ca="1">SUM(OFFSET('Output data (results)'!$B$10,P$15-2000+INDEX($I$2:$I$4,MATCH($B$1,$H$2:$H$4,0)),INDEX($M$2:$M$9,MATCH($B23&amp;$C23,$J$2:$J$9,0)),1,INDEX($N$2:$N$9,MATCH($B23&amp;$C23,$J$2:$J$9,0))))</f>
        <v>3.1305524751492158</v>
      </c>
      <c r="Q23" s="561">
        <f ca="1">SUM(OFFSET('Output data (results)'!$B$10,Q$15-2000+INDEX($I$2:$I$4,MATCH($B$1,$H$2:$H$4,0)),INDEX($M$2:$M$9,MATCH($B23&amp;$C23,$J$2:$J$9,0)),1,INDEX($N$2:$N$9,MATCH($B23&amp;$C23,$J$2:$J$9,0))))</f>
        <v>3.166598194351784</v>
      </c>
      <c r="R23" s="561">
        <f ca="1">SUM(OFFSET('Output data (results)'!$B$10,R$15-2000+INDEX($I$2:$I$4,MATCH($B$1,$H$2:$H$4,0)),INDEX($M$2:$M$9,MATCH($B23&amp;$C23,$J$2:$J$9,0)),1,INDEX($N$2:$N$9,MATCH($B23&amp;$C23,$J$2:$J$9,0))))</f>
        <v>3.1977779387807019</v>
      </c>
      <c r="S23" s="561">
        <f ca="1">SUM(OFFSET('Output data (results)'!$B$10,S$15-2000+INDEX($I$2:$I$4,MATCH($B$1,$H$2:$H$4,0)),INDEX($M$2:$M$9,MATCH($B23&amp;$C23,$J$2:$J$9,0)),1,INDEX($N$2:$N$9,MATCH($B23&amp;$C23,$J$2:$J$9,0))))</f>
        <v>3.2292646929415123</v>
      </c>
      <c r="T23" s="561">
        <f ca="1">SUM(OFFSET('Output data (results)'!$B$10,T$15-2000+INDEX($I$2:$I$4,MATCH($B$1,$H$2:$H$4,0)),INDEX($M$2:$M$9,MATCH($B23&amp;$C23,$J$2:$J$9,0)),1,INDEX($N$2:$N$9,MATCH($B23&amp;$C23,$J$2:$J$9,0))))</f>
        <v>3.2610614797895683</v>
      </c>
      <c r="U23" s="561">
        <f ca="1">SUM(OFFSET('Output data (results)'!$B$10,U$15-2000+INDEX($I$2:$I$4,MATCH($B$1,$H$2:$H$4,0)),INDEX($M$2:$M$9,MATCH($B23&amp;$C23,$J$2:$J$9,0)),1,INDEX($N$2:$N$9,MATCH($B23&amp;$C23,$J$2:$J$9,0))))</f>
        <v>3.2931713520456056</v>
      </c>
      <c r="V23" s="561">
        <f ca="1">SUM(OFFSET('Output data (results)'!$B$10,V$15-2000+INDEX($I$2:$I$4,MATCH($B$1,$H$2:$H$4,0)),INDEX($M$2:$M$9,MATCH($B23&amp;$C23,$J$2:$J$9,0)),1,INDEX($N$2:$N$9,MATCH($B23&amp;$C23,$J$2:$J$9,0))))</f>
        <v>3.3255973924888065</v>
      </c>
      <c r="W23" s="561">
        <f ca="1">SUM(OFFSET('Output data (results)'!$B$10,W$15-2000+INDEX($I$2:$I$4,MATCH($B$1,$H$2:$H$4,0)),INDEX($M$2:$M$9,MATCH($B23&amp;$C23,$J$2:$J$9,0)),1,INDEX($N$2:$N$9,MATCH($B23&amp;$C23,$J$2:$J$9,0))))</f>
        <v>3.3539789441183268</v>
      </c>
      <c r="X23" s="561">
        <f ca="1">SUM(OFFSET('Output data (results)'!$B$10,X$15-2000+INDEX($I$2:$I$4,MATCH($B$1,$H$2:$H$4,0)),INDEX($M$2:$M$9,MATCH($B23&amp;$C23,$J$2:$J$9,0)),1,INDEX($N$2:$N$9,MATCH($B23&amp;$C23,$J$2:$J$9,0))))</f>
        <v>3.3826027116200144</v>
      </c>
      <c r="Y23" s="561">
        <f ca="1">SUM(OFFSET('Output data (results)'!$B$10,Y$15-2000+INDEX($I$2:$I$4,MATCH($B$1,$H$2:$H$4,0)),INDEX($M$2:$M$9,MATCH($B23&amp;$C23,$J$2:$J$9,0)),1,INDEX($N$2:$N$9,MATCH($B23&amp;$C23,$J$2:$J$9,0))))</f>
        <v>3.4114707621299263</v>
      </c>
      <c r="Z23" s="561">
        <f ca="1">SUM(OFFSET('Output data (results)'!$B$10,Z$15-2000+INDEX($I$2:$I$4,MATCH($B$1,$H$2:$H$4,0)),INDEX($M$2:$M$9,MATCH($B23&amp;$C23,$J$2:$J$9,0)),1,INDEX($N$2:$N$9,MATCH($B23&amp;$C23,$J$2:$J$9,0))))</f>
        <v>3.4405851804256198</v>
      </c>
      <c r="AA23" s="561">
        <f ca="1">SUM(OFFSET('Output data (results)'!$B$10,AA$15-2000+INDEX($I$2:$I$4,MATCH($B$1,$H$2:$H$4,0)),INDEX($M$2:$M$9,MATCH($B23&amp;$C23,$J$2:$J$9,0)),1,INDEX($N$2:$N$9,MATCH($B23&amp;$C23,$J$2:$J$9,0))))</f>
        <v>3.4699480690767106</v>
      </c>
      <c r="AB23" s="561">
        <f ca="1">SUM(OFFSET('Output data (results)'!$B$10,AB$15-2000+INDEX($I$2:$I$4,MATCH($B$1,$H$2:$H$4,0)),INDEX($M$2:$M$9,MATCH($B23&amp;$C23,$J$2:$J$9,0)),1,INDEX($N$2:$N$9,MATCH($B23&amp;$C23,$J$2:$J$9,0))))</f>
        <v>3.4953521017314642</v>
      </c>
      <c r="AC23" s="561">
        <f ca="1">SUM(OFFSET('Output data (results)'!$B$10,AC$15-2000+INDEX($I$2:$I$4,MATCH($B$1,$H$2:$H$4,0)),INDEX($M$2:$M$9,MATCH($B23&amp;$C23,$J$2:$J$9,0)),1,INDEX($N$2:$N$9,MATCH($B23&amp;$C23,$J$2:$J$9,0))))</f>
        <v>3.5209421212835057</v>
      </c>
      <c r="AD23" s="561">
        <f ca="1">SUM(OFFSET('Output data (results)'!$B$10,AD$15-2000+INDEX($I$2:$I$4,MATCH($B$1,$H$2:$H$4,0)),INDEX($M$2:$M$9,MATCH($B23&amp;$C23,$J$2:$J$9,0)),1,INDEX($N$2:$N$9,MATCH($B23&amp;$C23,$J$2:$J$9,0))))</f>
        <v>3.5467194893720086</v>
      </c>
      <c r="AE23" s="561">
        <f ca="1">SUM(OFFSET('Output data (results)'!$B$10,AE$15-2000+INDEX($I$2:$I$4,MATCH($B$1,$H$2:$H$4,0)),INDEX($M$2:$M$9,MATCH($B23&amp;$C23,$J$2:$J$9,0)),1,INDEX($N$2:$N$9,MATCH($B23&amp;$C23,$J$2:$J$9,0))))</f>
        <v>3.5726855776049167</v>
      </c>
      <c r="AF23" s="561">
        <f ca="1">SUM(OFFSET('Output data (results)'!$B$10,AF$15-2000+INDEX($I$2:$I$4,MATCH($B$1,$H$2:$H$4,0)),INDEX($M$2:$M$9,MATCH($B23&amp;$C23,$J$2:$J$9,0)),1,INDEX($N$2:$N$9,MATCH($B23&amp;$C23,$J$2:$J$9,0))))</f>
        <v>3.5988417676319293</v>
      </c>
      <c r="AG23" s="561">
        <f ca="1">SUM(OFFSET('Output data (results)'!$B$10,AG$15-2000+INDEX($I$2:$I$4,MATCH($B$1,$H$2:$H$4,0)),INDEX($M$2:$M$9,MATCH($B23&amp;$C23,$J$2:$J$9,0)),1,INDEX($N$2:$N$9,MATCH($B23&amp;$C23,$J$2:$J$9,0))))</f>
        <v>3.6211939201999317</v>
      </c>
      <c r="AH23" s="561">
        <f ca="1">SUM(OFFSET('Output data (results)'!$B$10,AH$15-2000+INDEX($I$2:$I$4,MATCH($B$1,$H$2:$H$4,0)),INDEX($M$2:$M$9,MATCH($B23&amp;$C23,$J$2:$J$9,0)),1,INDEX($N$2:$N$9,MATCH($B23&amp;$C23,$J$2:$J$9,0))))</f>
        <v>3.6436849004121257</v>
      </c>
      <c r="AI23" s="561">
        <f ca="1">SUM(OFFSET('Output data (results)'!$B$10,AI$15-2000+INDEX($I$2:$I$4,MATCH($B$1,$H$2:$H$4,0)),INDEX($M$2:$M$9,MATCH($B23&amp;$C23,$J$2:$J$9,0)),1,INDEX($N$2:$N$9,MATCH($B23&amp;$C23,$J$2:$J$9,0))))</f>
        <v>3.666315570517225</v>
      </c>
      <c r="AJ23" s="561">
        <f ca="1">SUM(OFFSET('Output data (results)'!$B$10,AJ$15-2000+INDEX($I$2:$I$4,MATCH($B$1,$H$2:$H$4,0)),INDEX($M$2:$M$9,MATCH($B23&amp;$C23,$J$2:$J$9,0)),1,INDEX($N$2:$N$9,MATCH($B23&amp;$C23,$J$2:$J$9,0))))</f>
        <v>3.6890867981193103</v>
      </c>
      <c r="AK23" s="561">
        <f ca="1">SUM(OFFSET('Output data (results)'!$B$10,AK$15-2000+INDEX($I$2:$I$4,MATCH($B$1,$H$2:$H$4,0)),INDEX($M$2:$M$9,MATCH($B23&amp;$C23,$J$2:$J$9,0)),1,INDEX($N$2:$N$9,MATCH($B23&amp;$C23,$J$2:$J$9,0))))</f>
        <v>3.711999456211089</v>
      </c>
      <c r="AL23" s="561">
        <f ca="1">SUM(OFFSET('Output data (results)'!$B$10,AL$15-2000+INDEX($I$2:$I$4,MATCH($B$1,$H$2:$H$4,0)),INDEX($M$2:$M$9,MATCH($B23&amp;$C23,$J$2:$J$9,0)),1,INDEX($N$2:$N$9,MATCH($B23&amp;$C23,$J$2:$J$9,0))))</f>
        <v>3.7309486194433799</v>
      </c>
      <c r="AM23" s="561">
        <f ca="1">SUM(OFFSET('Output data (results)'!$B$10,AM$15-2000+INDEX($I$2:$I$4,MATCH($B$1,$H$2:$H$4,0)),INDEX($M$2:$M$9,MATCH($B23&amp;$C23,$J$2:$J$9,0)),1,INDEX($N$2:$N$9,MATCH($B23&amp;$C23,$J$2:$J$9,0))))</f>
        <v>3.74999451512174</v>
      </c>
      <c r="AN23" s="561">
        <f ca="1">SUM(OFFSET('Output data (results)'!$B$10,AN$15-2000+INDEX($I$2:$I$4,MATCH($B$1,$H$2:$H$4,0)),INDEX($M$2:$M$9,MATCH($B23&amp;$C23,$J$2:$J$9,0)),1,INDEX($N$2:$N$9,MATCH($B23&amp;$C23,$J$2:$J$9,0))))</f>
        <v>3.769137637049826</v>
      </c>
      <c r="AO23" s="561">
        <f ca="1">SUM(OFFSET('Output data (results)'!$B$10,AO$15-2000+INDEX($I$2:$I$4,MATCH($B$1,$H$2:$H$4,0)),INDEX($M$2:$M$9,MATCH($B23&amp;$C23,$J$2:$J$9,0)),1,INDEX($N$2:$N$9,MATCH($B23&amp;$C23,$J$2:$J$9,0))))</f>
        <v>3.7883784815520856</v>
      </c>
      <c r="AP23" s="561">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A91" zoomScale="56" zoomScaleNormal="60" workbookViewId="0">
      <selection activeCell="D119" sqref="D119"/>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28.06789123869763</v>
      </c>
      <c r="D5" s="196" t="s">
        <v>470</v>
      </c>
    </row>
    <row r="6" spans="1:14" ht="31.5">
      <c r="A6" s="189" t="s">
        <v>570</v>
      </c>
      <c r="B6" s="454" t="str">
        <f>B5</f>
        <v>ton industrial waste/Rmill GDP</v>
      </c>
      <c r="C6" s="406">
        <f>'Waste Summary 2017 SASOW'!B36</f>
        <v>12.031045626813224</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29">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69" t="s">
        <v>221</v>
      </c>
      <c r="D12" s="1169" t="s">
        <v>85</v>
      </c>
      <c r="E12" s="1169" t="s">
        <v>87</v>
      </c>
      <c r="F12" s="1169" t="s">
        <v>222</v>
      </c>
      <c r="G12" s="1169" t="s">
        <v>115</v>
      </c>
      <c r="H12" s="1169" t="s">
        <v>223</v>
      </c>
      <c r="I12" s="1169" t="s">
        <v>472</v>
      </c>
      <c r="J12" s="1169" t="s">
        <v>329</v>
      </c>
      <c r="K12" s="1169" t="s">
        <v>330</v>
      </c>
      <c r="L12" s="1169" t="s">
        <v>331</v>
      </c>
      <c r="M12" s="1169" t="s">
        <v>332</v>
      </c>
      <c r="N12" s="1168" t="s">
        <v>225</v>
      </c>
    </row>
    <row r="13" spans="1:14">
      <c r="A13" s="425"/>
      <c r="B13" s="320" t="s">
        <v>333</v>
      </c>
      <c r="C13" s="1275">
        <v>1233791.4119790548</v>
      </c>
      <c r="D13" s="1275">
        <v>1138884.3802883581</v>
      </c>
      <c r="E13" s="1275">
        <v>378326.54427023319</v>
      </c>
      <c r="F13" s="1275">
        <v>0</v>
      </c>
      <c r="G13" s="1275">
        <v>0</v>
      </c>
      <c r="H13" s="1275">
        <v>0</v>
      </c>
      <c r="I13" s="1275"/>
      <c r="J13" s="1275">
        <v>381000</v>
      </c>
      <c r="K13" s="1275">
        <v>338388.97868490184</v>
      </c>
      <c r="L13" s="1275">
        <v>297470.77450579114</v>
      </c>
      <c r="M13" s="1275">
        <v>0</v>
      </c>
      <c r="N13" s="1276">
        <f t="shared" ref="N13:N21" si="0">SUM(C13:M13)</f>
        <v>3767862.0897283391</v>
      </c>
    </row>
    <row r="14" spans="1:14">
      <c r="A14" s="426" t="s">
        <v>334</v>
      </c>
      <c r="B14" s="320" t="s">
        <v>335</v>
      </c>
      <c r="C14" s="1275">
        <v>964286</v>
      </c>
      <c r="D14" s="1275">
        <v>964286</v>
      </c>
      <c r="E14" s="1275">
        <v>0</v>
      </c>
      <c r="F14" s="1275">
        <v>0</v>
      </c>
      <c r="G14" s="1275">
        <v>0</v>
      </c>
      <c r="H14" s="1275">
        <v>0</v>
      </c>
      <c r="I14" s="1275">
        <v>2892858</v>
      </c>
      <c r="J14" s="1275">
        <v>0</v>
      </c>
      <c r="K14" s="1275">
        <v>0</v>
      </c>
      <c r="L14" s="1275">
        <v>0</v>
      </c>
      <c r="M14" s="1275">
        <v>0</v>
      </c>
      <c r="N14" s="1276">
        <f t="shared" si="0"/>
        <v>4821430</v>
      </c>
    </row>
    <row r="15" spans="1:14">
      <c r="A15" s="426" t="s">
        <v>336</v>
      </c>
      <c r="B15" s="320" t="s">
        <v>337</v>
      </c>
      <c r="C15" s="1275">
        <v>72176.800000000003</v>
      </c>
      <c r="D15" s="1275">
        <v>72176.800000000003</v>
      </c>
      <c r="E15" s="1275">
        <v>0</v>
      </c>
      <c r="F15" s="1275">
        <v>0</v>
      </c>
      <c r="G15" s="1275">
        <v>0</v>
      </c>
      <c r="H15" s="1275">
        <v>0</v>
      </c>
      <c r="I15" s="1275">
        <v>216530.4</v>
      </c>
      <c r="J15" s="1275">
        <v>0</v>
      </c>
      <c r="K15" s="1275">
        <v>0</v>
      </c>
      <c r="L15" s="1275">
        <v>0</v>
      </c>
      <c r="M15" s="1275">
        <v>0</v>
      </c>
      <c r="N15" s="1276">
        <f t="shared" si="0"/>
        <v>360884</v>
      </c>
    </row>
    <row r="16" spans="1:14">
      <c r="A16" s="426" t="s">
        <v>338</v>
      </c>
      <c r="B16" s="320" t="s">
        <v>339</v>
      </c>
      <c r="C16" s="1275">
        <v>0</v>
      </c>
      <c r="D16" s="1275">
        <v>0</v>
      </c>
      <c r="E16" s="1275">
        <v>520349.97572976683</v>
      </c>
      <c r="F16" s="1275">
        <v>0</v>
      </c>
      <c r="G16" s="1275">
        <v>0</v>
      </c>
      <c r="H16" s="1275">
        <v>0</v>
      </c>
      <c r="I16" s="1275">
        <v>0</v>
      </c>
      <c r="J16" s="1275">
        <v>237880.00199999998</v>
      </c>
      <c r="K16" s="1275">
        <v>465419.88531509798</v>
      </c>
      <c r="L16" s="1275">
        <v>409141.02549420868</v>
      </c>
      <c r="M16" s="1275">
        <v>123895.58799999999</v>
      </c>
      <c r="N16" s="1276">
        <f t="shared" si="0"/>
        <v>1756686.4765390735</v>
      </c>
    </row>
    <row r="17" spans="1:16">
      <c r="A17" s="426" t="s">
        <v>338</v>
      </c>
      <c r="B17" s="320" t="s">
        <v>340</v>
      </c>
      <c r="C17" s="1275">
        <v>0</v>
      </c>
      <c r="D17" s="1275">
        <v>0</v>
      </c>
      <c r="E17" s="1275">
        <v>1241029.48</v>
      </c>
      <c r="F17" s="1275">
        <v>0</v>
      </c>
      <c r="G17" s="1275">
        <v>0</v>
      </c>
      <c r="H17" s="1275">
        <v>0</v>
      </c>
      <c r="I17" s="1275">
        <v>0</v>
      </c>
      <c r="J17" s="1275">
        <v>480373.99800000002</v>
      </c>
      <c r="K17" s="1275">
        <v>1987194.1360000002</v>
      </c>
      <c r="L17" s="1275">
        <v>2826447.2</v>
      </c>
      <c r="M17" s="1275">
        <v>38271.412000000004</v>
      </c>
      <c r="N17" s="1276">
        <f t="shared" si="0"/>
        <v>6573316.2259999998</v>
      </c>
    </row>
    <row r="18" spans="1:16">
      <c r="A18" s="426" t="s">
        <v>341</v>
      </c>
      <c r="B18" s="320" t="s">
        <v>342</v>
      </c>
      <c r="C18" s="1275">
        <v>2500000</v>
      </c>
      <c r="D18" s="1275">
        <v>4200000</v>
      </c>
      <c r="E18" s="1275">
        <v>0</v>
      </c>
      <c r="F18" s="1275">
        <v>0</v>
      </c>
      <c r="G18" s="1275">
        <v>0</v>
      </c>
      <c r="H18" s="1275">
        <v>0</v>
      </c>
      <c r="I18" s="1275">
        <v>0</v>
      </c>
      <c r="J18" s="1275">
        <v>0</v>
      </c>
      <c r="K18" s="1275">
        <v>0</v>
      </c>
      <c r="L18" s="1275">
        <v>0</v>
      </c>
      <c r="M18" s="1275">
        <v>0</v>
      </c>
      <c r="N18" s="1276">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7"/>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78">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05"/>
      <c r="B33" s="1702" t="s">
        <v>485</v>
      </c>
      <c r="C33" s="1703"/>
      <c r="D33" s="1703"/>
      <c r="E33" s="1703"/>
      <c r="F33" s="1704"/>
      <c r="G33" s="1702" t="s">
        <v>532</v>
      </c>
      <c r="H33" s="1703"/>
      <c r="I33" s="1704"/>
      <c r="J33" s="417"/>
      <c r="L33" s="417"/>
      <c r="M33" s="417"/>
      <c r="N33" s="332"/>
      <c r="O33" s="332"/>
      <c r="P33" s="332"/>
    </row>
    <row r="34" spans="1:29" ht="16.5" thickBot="1">
      <c r="A34" s="1706"/>
      <c r="B34" s="1177" t="s">
        <v>473</v>
      </c>
      <c r="C34" s="1178" t="s">
        <v>785</v>
      </c>
      <c r="D34" s="1178" t="s">
        <v>377</v>
      </c>
      <c r="E34" s="1178" t="s">
        <v>477</v>
      </c>
      <c r="F34" s="1179" t="s">
        <v>303</v>
      </c>
      <c r="G34" s="1177" t="s">
        <v>493</v>
      </c>
      <c r="H34" s="1178" t="s">
        <v>494</v>
      </c>
      <c r="I34" s="1179" t="s">
        <v>303</v>
      </c>
      <c r="J34" s="184"/>
      <c r="K34" s="184"/>
      <c r="L34" s="184"/>
    </row>
    <row r="35" spans="1:29">
      <c r="A35" s="1440" t="s">
        <v>267</v>
      </c>
      <c r="B35" s="1181">
        <f>(0.5*'Waste Summary 2017 SASOW'!M6+0.9*('Waste Summary 2017 SASOW'!L6+'Waste Summary 2017 SASOW'!N6))/'Waste Summary 2017 SASOW'!J6</f>
        <v>0.46471844811027063</v>
      </c>
      <c r="C35" s="1181">
        <f>'Waste Summary 2017 SASOW'!O22</f>
        <v>0.41381327103365251</v>
      </c>
      <c r="D35" s="1181">
        <f>(0.5*'Waste Summary 2017 SASOW'!M6+('Waste Summary 2017 SASOW'!L6+'Waste Summary 2017 SASOW'!N6)*0.1)/'Waste Summary 2017 SASOW'!J6</f>
        <v>0.12146828085607692</v>
      </c>
      <c r="E35" s="1182">
        <v>0</v>
      </c>
      <c r="F35" s="647">
        <f>SUM(B35:E35)</f>
        <v>1</v>
      </c>
      <c r="G35" s="708">
        <f>N17/(N17+N18*0.5)</f>
        <v>0.66241124199764068</v>
      </c>
      <c r="H35" s="647">
        <f>(N18*0.5)/(N18*0.5+N17)</f>
        <v>0.33758875800235938</v>
      </c>
      <c r="I35" s="715">
        <f>SUM(G35:H35)</f>
        <v>1</v>
      </c>
      <c r="J35" s="1635">
        <f>H35*C35</f>
        <v>0.13969870821314448</v>
      </c>
      <c r="K35" s="417"/>
      <c r="L35" s="184"/>
    </row>
    <row r="36" spans="1:29">
      <c r="A36" s="1441" t="s">
        <v>758</v>
      </c>
      <c r="B36" s="436">
        <f>'Waste Summary 2017 SASOW'!L20+'Waste Summary 2017 SASOW'!M20+'Waste Summary 2017 SASOW'!N20</f>
        <v>0.7821504466492184</v>
      </c>
      <c r="C36" s="436">
        <f>'Waste Summary 2017 SASOW'!O20</f>
        <v>8.8860692477895534E-2</v>
      </c>
      <c r="D36" s="436">
        <v>0</v>
      </c>
      <c r="E36" s="1180">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3"/>
      <c r="K36" s="184"/>
      <c r="L36" s="184"/>
      <c r="O36" s="332"/>
      <c r="P36" s="332"/>
    </row>
    <row r="37" spans="1:29">
      <c r="A37" s="1441" t="s">
        <v>759</v>
      </c>
      <c r="B37" s="436">
        <f>'Waste Summary 2017 SASOW'!L24+'Waste Summary 2017 SASOW'!M24+'Waste Summary 2017 SASOW'!N24</f>
        <v>0.57380711973947707</v>
      </c>
      <c r="C37" s="436">
        <f>'Waste Summary 2017 SASOW'!O24</f>
        <v>0.12526763815896438</v>
      </c>
      <c r="D37" s="436">
        <f>0</f>
        <v>0</v>
      </c>
      <c r="E37" s="1180">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2" t="s">
        <v>753</v>
      </c>
      <c r="B38" s="417">
        <v>0.8</v>
      </c>
      <c r="C38" s="417">
        <v>0.11</v>
      </c>
      <c r="D38" s="417">
        <v>0.09</v>
      </c>
      <c r="E38" s="417">
        <v>0</v>
      </c>
      <c r="F38" s="417">
        <f>SUM(B38:E38)</f>
        <v>1</v>
      </c>
      <c r="G38" s="649">
        <v>1</v>
      </c>
      <c r="H38" s="417">
        <v>0</v>
      </c>
      <c r="I38" s="525">
        <f t="shared" si="14"/>
        <v>1</v>
      </c>
      <c r="J38" s="184"/>
      <c r="K38" s="184"/>
      <c r="L38" s="184"/>
    </row>
    <row r="39" spans="1:29" ht="16.5" thickBot="1">
      <c r="A39" s="1443"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07" t="s">
        <v>615</v>
      </c>
      <c r="B41" s="1708"/>
      <c r="C41" s="1709"/>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21" t="s">
        <v>527</v>
      </c>
      <c r="C47" s="1722"/>
      <c r="D47" s="1722"/>
      <c r="E47" s="1723"/>
      <c r="F47" s="1110" t="s">
        <v>529</v>
      </c>
      <c r="G47" s="1110"/>
      <c r="H47" s="1110"/>
      <c r="I47" s="1710" t="s">
        <v>631</v>
      </c>
      <c r="J47" s="1710"/>
      <c r="K47" s="1710"/>
      <c r="L47" s="1710"/>
      <c r="M47" s="1711"/>
      <c r="N47" s="1712" t="s">
        <v>530</v>
      </c>
      <c r="O47" s="1710"/>
      <c r="P47" s="1710"/>
      <c r="Q47" s="1710"/>
      <c r="R47" s="1710"/>
      <c r="S47" s="1710"/>
      <c r="T47" s="1710"/>
      <c r="U47" s="1710"/>
      <c r="V47" s="1710"/>
      <c r="W47" s="1710"/>
      <c r="X47" s="1710"/>
      <c r="Y47" s="1710"/>
      <c r="Z47" s="1710"/>
      <c r="AA47" s="1710"/>
      <c r="AB47" s="1710"/>
      <c r="AC47" s="1711"/>
    </row>
    <row r="48" spans="1:29" ht="94.5">
      <c r="A48" s="1719" t="s">
        <v>217</v>
      </c>
      <c r="B48" s="1106" t="s">
        <v>218</v>
      </c>
      <c r="C48" s="1106" t="s">
        <v>390</v>
      </c>
      <c r="D48" s="563" t="s">
        <v>629</v>
      </c>
      <c r="E48" s="469" t="s">
        <v>630</v>
      </c>
      <c r="F48" s="1111" t="s">
        <v>501</v>
      </c>
      <c r="G48" s="563" t="s">
        <v>504</v>
      </c>
      <c r="H48" s="469" t="s">
        <v>528</v>
      </c>
      <c r="I48" s="1167" t="s">
        <v>478</v>
      </c>
      <c r="J48" s="444" t="s">
        <v>475</v>
      </c>
      <c r="K48" s="444" t="s">
        <v>288</v>
      </c>
      <c r="L48" s="451" t="s">
        <v>747</v>
      </c>
      <c r="M48" s="451" t="s">
        <v>748</v>
      </c>
      <c r="N48" s="1713" t="s">
        <v>481</v>
      </c>
      <c r="O48" s="1714"/>
      <c r="P48" s="1714"/>
      <c r="Q48" s="1714"/>
      <c r="R48" s="1714"/>
      <c r="S48" s="1714"/>
      <c r="T48" s="1714"/>
      <c r="U48" s="1715"/>
      <c r="V48" s="1716" t="s">
        <v>746</v>
      </c>
      <c r="W48" s="1717"/>
      <c r="X48" s="1717"/>
      <c r="Y48" s="1717"/>
      <c r="Z48" s="1717"/>
      <c r="AA48" s="1717"/>
      <c r="AB48" s="1717"/>
      <c r="AC48" s="1718"/>
    </row>
    <row r="49" spans="1:29" ht="39" customHeight="1" thickBot="1">
      <c r="A49" s="1720"/>
      <c r="B49" s="458" t="s">
        <v>232</v>
      </c>
      <c r="C49" s="459" t="s">
        <v>482</v>
      </c>
      <c r="D49" s="459" t="s">
        <v>480</v>
      </c>
      <c r="E49" s="477" t="s">
        <v>480</v>
      </c>
      <c r="F49" s="1112" t="s">
        <v>229</v>
      </c>
      <c r="G49" s="459" t="s">
        <v>229</v>
      </c>
      <c r="H49" s="477" t="s">
        <v>228</v>
      </c>
      <c r="I49" s="562" t="s">
        <v>227</v>
      </c>
      <c r="J49" s="446" t="s">
        <v>393</v>
      </c>
      <c r="K49" s="446" t="s">
        <v>228</v>
      </c>
      <c r="L49" s="1287" t="s">
        <v>228</v>
      </c>
      <c r="M49" s="447" t="s">
        <v>228</v>
      </c>
      <c r="N49" s="416" t="s">
        <v>221</v>
      </c>
      <c r="O49" s="185" t="s">
        <v>85</v>
      </c>
      <c r="P49" s="185" t="s">
        <v>87</v>
      </c>
      <c r="Q49" s="185" t="s">
        <v>222</v>
      </c>
      <c r="R49" s="185" t="s">
        <v>115</v>
      </c>
      <c r="S49" s="185" t="s">
        <v>223</v>
      </c>
      <c r="T49" s="185" t="s">
        <v>224</v>
      </c>
      <c r="U49" s="188" t="s">
        <v>225</v>
      </c>
      <c r="V49" s="1279" t="s">
        <v>221</v>
      </c>
      <c r="W49" s="1280" t="s">
        <v>85</v>
      </c>
      <c r="X49" s="1280" t="s">
        <v>87</v>
      </c>
      <c r="Y49" s="1280" t="s">
        <v>222</v>
      </c>
      <c r="Z49" s="1280" t="s">
        <v>115</v>
      </c>
      <c r="AA49" s="1280" t="s">
        <v>223</v>
      </c>
      <c r="AB49" s="1280" t="s">
        <v>224</v>
      </c>
      <c r="AC49" s="1281" t="s">
        <v>225</v>
      </c>
    </row>
    <row r="50" spans="1:29">
      <c r="A50" s="760">
        <f>year</f>
        <v>1950</v>
      </c>
      <c r="B50" s="1654">
        <v>5.3541578999999997</v>
      </c>
      <c r="C50" s="761"/>
      <c r="D50" s="1575">
        <v>0</v>
      </c>
      <c r="E50" s="1576">
        <v>0</v>
      </c>
      <c r="F50" s="186">
        <f>C43</f>
        <v>0.71479999999999999</v>
      </c>
      <c r="G50" s="186">
        <f>C42</f>
        <v>0.28959999999999997</v>
      </c>
      <c r="H50" s="478">
        <v>0</v>
      </c>
      <c r="I50" s="1288">
        <f>$C$3</f>
        <v>578.73</v>
      </c>
      <c r="J50" s="1289">
        <f>'Waste Summary 2017 SASOW'!B34</f>
        <v>28.06789123869763</v>
      </c>
      <c r="K50" s="1290">
        <f t="shared" ref="K50:K110" si="15">B50*I50</f>
        <v>3098.6118014670001</v>
      </c>
      <c r="L50" s="1290">
        <f>C50*J50*1000/1000</f>
        <v>0</v>
      </c>
      <c r="M50" s="1291">
        <f t="shared" ref="M50:M113" si="16">C50*J50*1000/1000</f>
        <v>0</v>
      </c>
      <c r="N50" s="1249">
        <f t="shared" ref="N50:S50" si="17">C29</f>
        <v>0.19892488097366726</v>
      </c>
      <c r="O50" s="1249">
        <f t="shared" si="17"/>
        <v>0.26585903447659598</v>
      </c>
      <c r="P50" s="1249">
        <f t="shared" si="17"/>
        <v>8.9228108703258049E-2</v>
      </c>
      <c r="Q50" s="1249">
        <f t="shared" si="17"/>
        <v>0</v>
      </c>
      <c r="R50" s="1249">
        <f t="shared" si="17"/>
        <v>0</v>
      </c>
      <c r="S50" s="1249">
        <f t="shared" si="17"/>
        <v>0</v>
      </c>
      <c r="T50" s="1249">
        <f>SUM(I29:M29)</f>
        <v>0.4459879758464787</v>
      </c>
      <c r="U50" s="1282">
        <f t="shared" ref="U50:U81" si="18">SUM(N50:T50)</f>
        <v>1</v>
      </c>
      <c r="V50" s="1283">
        <f>C31</f>
        <v>0.29028184578274857</v>
      </c>
      <c r="W50" s="1249">
        <f>D31</f>
        <v>0.30317187715157518</v>
      </c>
      <c r="X50" s="1249">
        <f>E31</f>
        <v>8.2805443243048754E-2</v>
      </c>
      <c r="Y50" s="1249">
        <f t="shared" ref="Y50:AA50" si="19">F31</f>
        <v>0</v>
      </c>
      <c r="Z50" s="1249">
        <f t="shared" si="19"/>
        <v>0</v>
      </c>
      <c r="AA50" s="1249">
        <f t="shared" si="19"/>
        <v>0</v>
      </c>
      <c r="AB50" s="1249">
        <f>SUM(I31:M31)</f>
        <v>0.32374083382262742</v>
      </c>
      <c r="AC50" s="1282">
        <f>SUM(V50:AB50)</f>
        <v>0.99999999999999989</v>
      </c>
    </row>
    <row r="51" spans="1:29">
      <c r="A51" s="187">
        <f t="shared" ref="A51:A82" si="20">A50+1</f>
        <v>1951</v>
      </c>
      <c r="B51" s="1655">
        <v>5.53942844</v>
      </c>
      <c r="C51" s="409"/>
      <c r="D51" s="1577">
        <v>0</v>
      </c>
      <c r="E51" s="1578">
        <v>0</v>
      </c>
      <c r="F51" s="186">
        <f>F50</f>
        <v>0.71479999999999999</v>
      </c>
      <c r="G51" s="186">
        <f>G50</f>
        <v>0.28959999999999997</v>
      </c>
      <c r="H51" s="478">
        <v>0</v>
      </c>
      <c r="I51" s="1292">
        <f t="shared" ref="I51:I109" si="21">$C$3</f>
        <v>578.73</v>
      </c>
      <c r="J51" s="1293">
        <f t="shared" ref="J51:J114" si="22">J50</f>
        <v>28.06789123869763</v>
      </c>
      <c r="K51" s="1294">
        <f t="shared" si="15"/>
        <v>3205.8334210812</v>
      </c>
      <c r="L51" s="1294">
        <f t="shared" ref="L51:L99" si="23">C51*J51*1000/1000</f>
        <v>0</v>
      </c>
      <c r="M51" s="1295">
        <f t="shared" si="16"/>
        <v>0</v>
      </c>
      <c r="N51" s="1249">
        <f t="shared" ref="N51:T66" si="24">N50</f>
        <v>0.19892488097366726</v>
      </c>
      <c r="O51" s="1249">
        <f t="shared" si="24"/>
        <v>0.26585903447659598</v>
      </c>
      <c r="P51" s="1249">
        <f t="shared" si="24"/>
        <v>8.9228108703258049E-2</v>
      </c>
      <c r="Q51" s="1249">
        <f t="shared" si="24"/>
        <v>0</v>
      </c>
      <c r="R51" s="1249">
        <f t="shared" si="24"/>
        <v>0</v>
      </c>
      <c r="S51" s="1249">
        <f t="shared" si="24"/>
        <v>0</v>
      </c>
      <c r="T51" s="1249">
        <f t="shared" si="24"/>
        <v>0.4459879758464787</v>
      </c>
      <c r="U51" s="1282">
        <f t="shared" si="18"/>
        <v>1</v>
      </c>
      <c r="V51" s="1283">
        <f>V50</f>
        <v>0.29028184578274857</v>
      </c>
      <c r="W51" s="1249">
        <f t="shared" ref="W51:AB66" si="25">W50</f>
        <v>0.30317187715157518</v>
      </c>
      <c r="X51" s="1249">
        <f t="shared" si="25"/>
        <v>8.2805443243048754E-2</v>
      </c>
      <c r="Y51" s="1249">
        <f t="shared" si="25"/>
        <v>0</v>
      </c>
      <c r="Z51" s="1249">
        <f t="shared" si="25"/>
        <v>0</v>
      </c>
      <c r="AA51" s="1249">
        <f t="shared" si="25"/>
        <v>0</v>
      </c>
      <c r="AB51" s="1249">
        <f t="shared" si="25"/>
        <v>0.32374083382262742</v>
      </c>
      <c r="AC51" s="1282">
        <f t="shared" ref="AC51:AC114" si="26">SUM(V51:AB51)</f>
        <v>0.99999999999999989</v>
      </c>
    </row>
    <row r="52" spans="1:29">
      <c r="A52" s="187">
        <f t="shared" si="20"/>
        <v>1952</v>
      </c>
      <c r="B52" s="1655">
        <v>5.7129272200000001</v>
      </c>
      <c r="C52" s="409"/>
      <c r="D52" s="1577">
        <v>0</v>
      </c>
      <c r="E52" s="1578">
        <v>0</v>
      </c>
      <c r="F52" s="186">
        <f t="shared" ref="F52:F115" si="27">F51</f>
        <v>0.71479999999999999</v>
      </c>
      <c r="G52" s="186">
        <f t="shared" ref="G52:G115" si="28">G51</f>
        <v>0.28959999999999997</v>
      </c>
      <c r="H52" s="478">
        <v>0</v>
      </c>
      <c r="I52" s="1292">
        <f t="shared" si="21"/>
        <v>578.73</v>
      </c>
      <c r="J52" s="1293">
        <f t="shared" si="22"/>
        <v>28.06789123869763</v>
      </c>
      <c r="K52" s="1294">
        <f t="shared" si="15"/>
        <v>3306.2423700306003</v>
      </c>
      <c r="L52" s="1294">
        <f t="shared" si="23"/>
        <v>0</v>
      </c>
      <c r="M52" s="1295">
        <f t="shared" si="16"/>
        <v>0</v>
      </c>
      <c r="N52" s="1249">
        <f t="shared" si="24"/>
        <v>0.19892488097366726</v>
      </c>
      <c r="O52" s="1249">
        <f t="shared" si="24"/>
        <v>0.26585903447659598</v>
      </c>
      <c r="P52" s="1249">
        <f t="shared" si="24"/>
        <v>8.9228108703258049E-2</v>
      </c>
      <c r="Q52" s="1249">
        <f t="shared" si="24"/>
        <v>0</v>
      </c>
      <c r="R52" s="1249">
        <f t="shared" si="24"/>
        <v>0</v>
      </c>
      <c r="S52" s="1249">
        <f t="shared" si="24"/>
        <v>0</v>
      </c>
      <c r="T52" s="1249">
        <f t="shared" si="24"/>
        <v>0.4459879758464787</v>
      </c>
      <c r="U52" s="1282">
        <f t="shared" si="18"/>
        <v>1</v>
      </c>
      <c r="V52" s="1283">
        <f t="shared" ref="V52:AB67" si="29">V51</f>
        <v>0.29028184578274857</v>
      </c>
      <c r="W52" s="1249">
        <f t="shared" si="25"/>
        <v>0.30317187715157518</v>
      </c>
      <c r="X52" s="1249">
        <f t="shared" si="25"/>
        <v>8.2805443243048754E-2</v>
      </c>
      <c r="Y52" s="1249">
        <f t="shared" si="25"/>
        <v>0</v>
      </c>
      <c r="Z52" s="1249">
        <f t="shared" si="25"/>
        <v>0</v>
      </c>
      <c r="AA52" s="1249">
        <f t="shared" si="25"/>
        <v>0</v>
      </c>
      <c r="AB52" s="1249">
        <f t="shared" si="25"/>
        <v>0.32374083382262742</v>
      </c>
      <c r="AC52" s="1282">
        <f t="shared" si="26"/>
        <v>0.99999999999999989</v>
      </c>
    </row>
    <row r="53" spans="1:29">
      <c r="A53" s="187">
        <f t="shared" si="20"/>
        <v>1953</v>
      </c>
      <c r="B53" s="1655">
        <v>5.9284297800000001</v>
      </c>
      <c r="C53" s="409"/>
      <c r="D53" s="1577">
        <v>0</v>
      </c>
      <c r="E53" s="1578">
        <v>0</v>
      </c>
      <c r="F53" s="186">
        <f t="shared" si="27"/>
        <v>0.71479999999999999</v>
      </c>
      <c r="G53" s="186">
        <f t="shared" si="28"/>
        <v>0.28959999999999997</v>
      </c>
      <c r="H53" s="478">
        <v>0</v>
      </c>
      <c r="I53" s="1292">
        <f t="shared" si="21"/>
        <v>578.73</v>
      </c>
      <c r="J53" s="1293">
        <f t="shared" si="22"/>
        <v>28.06789123869763</v>
      </c>
      <c r="K53" s="1294">
        <f t="shared" si="15"/>
        <v>3430.9601665794003</v>
      </c>
      <c r="L53" s="1294">
        <f t="shared" si="23"/>
        <v>0</v>
      </c>
      <c r="M53" s="1295">
        <f t="shared" si="16"/>
        <v>0</v>
      </c>
      <c r="N53" s="1249">
        <f t="shared" si="24"/>
        <v>0.19892488097366726</v>
      </c>
      <c r="O53" s="1249">
        <f t="shared" si="24"/>
        <v>0.26585903447659598</v>
      </c>
      <c r="P53" s="1249">
        <f t="shared" si="24"/>
        <v>8.9228108703258049E-2</v>
      </c>
      <c r="Q53" s="1249">
        <f t="shared" si="24"/>
        <v>0</v>
      </c>
      <c r="R53" s="1249">
        <f t="shared" si="24"/>
        <v>0</v>
      </c>
      <c r="S53" s="1249">
        <f t="shared" si="24"/>
        <v>0</v>
      </c>
      <c r="T53" s="1249">
        <f t="shared" si="24"/>
        <v>0.4459879758464787</v>
      </c>
      <c r="U53" s="1282">
        <f t="shared" si="18"/>
        <v>1</v>
      </c>
      <c r="V53" s="1283">
        <f t="shared" si="29"/>
        <v>0.29028184578274857</v>
      </c>
      <c r="W53" s="1249">
        <f t="shared" si="25"/>
        <v>0.30317187715157518</v>
      </c>
      <c r="X53" s="1249">
        <f t="shared" si="25"/>
        <v>8.2805443243048754E-2</v>
      </c>
      <c r="Y53" s="1249">
        <f t="shared" si="25"/>
        <v>0</v>
      </c>
      <c r="Z53" s="1249">
        <f t="shared" si="25"/>
        <v>0</v>
      </c>
      <c r="AA53" s="1249">
        <f t="shared" si="25"/>
        <v>0</v>
      </c>
      <c r="AB53" s="1249">
        <f t="shared" si="25"/>
        <v>0.32374083382262742</v>
      </c>
      <c r="AC53" s="1282">
        <f t="shared" si="26"/>
        <v>0.99999999999999989</v>
      </c>
    </row>
    <row r="54" spans="1:29">
      <c r="A54" s="187">
        <f t="shared" si="20"/>
        <v>1954</v>
      </c>
      <c r="B54" s="1655">
        <v>6.1065695599999996</v>
      </c>
      <c r="C54" s="409"/>
      <c r="D54" s="1577">
        <v>0</v>
      </c>
      <c r="E54" s="1578">
        <v>0</v>
      </c>
      <c r="F54" s="186">
        <f t="shared" si="27"/>
        <v>0.71479999999999999</v>
      </c>
      <c r="G54" s="186">
        <f t="shared" si="28"/>
        <v>0.28959999999999997</v>
      </c>
      <c r="H54" s="478">
        <v>0</v>
      </c>
      <c r="I54" s="1292">
        <f t="shared" si="21"/>
        <v>578.73</v>
      </c>
      <c r="J54" s="1293">
        <f t="shared" si="22"/>
        <v>28.06789123869763</v>
      </c>
      <c r="K54" s="1294">
        <f t="shared" si="15"/>
        <v>3534.0550014587998</v>
      </c>
      <c r="L54" s="1294">
        <f t="shared" si="23"/>
        <v>0</v>
      </c>
      <c r="M54" s="1295">
        <f t="shared" si="16"/>
        <v>0</v>
      </c>
      <c r="N54" s="1249">
        <f t="shared" si="24"/>
        <v>0.19892488097366726</v>
      </c>
      <c r="O54" s="1249">
        <f t="shared" si="24"/>
        <v>0.26585903447659598</v>
      </c>
      <c r="P54" s="1249">
        <f t="shared" si="24"/>
        <v>8.9228108703258049E-2</v>
      </c>
      <c r="Q54" s="1249">
        <f t="shared" si="24"/>
        <v>0</v>
      </c>
      <c r="R54" s="1249">
        <f t="shared" si="24"/>
        <v>0</v>
      </c>
      <c r="S54" s="1249">
        <f t="shared" si="24"/>
        <v>0</v>
      </c>
      <c r="T54" s="1249">
        <f t="shared" si="24"/>
        <v>0.4459879758464787</v>
      </c>
      <c r="U54" s="1282">
        <f t="shared" si="18"/>
        <v>1</v>
      </c>
      <c r="V54" s="1283">
        <f t="shared" si="29"/>
        <v>0.29028184578274857</v>
      </c>
      <c r="W54" s="1249">
        <f t="shared" si="25"/>
        <v>0.30317187715157518</v>
      </c>
      <c r="X54" s="1249">
        <f t="shared" si="25"/>
        <v>8.2805443243048754E-2</v>
      </c>
      <c r="Y54" s="1249">
        <f t="shared" si="25"/>
        <v>0</v>
      </c>
      <c r="Z54" s="1249">
        <f t="shared" si="25"/>
        <v>0</v>
      </c>
      <c r="AA54" s="1249">
        <f t="shared" si="25"/>
        <v>0</v>
      </c>
      <c r="AB54" s="1249">
        <f t="shared" si="25"/>
        <v>0.32374083382262742</v>
      </c>
      <c r="AC54" s="1282">
        <f t="shared" si="26"/>
        <v>0.99999999999999989</v>
      </c>
    </row>
    <row r="55" spans="1:29">
      <c r="A55" s="187">
        <f t="shared" si="20"/>
        <v>1955</v>
      </c>
      <c r="B55" s="1655">
        <v>6.2725644799999998</v>
      </c>
      <c r="C55" s="409"/>
      <c r="D55" s="1577">
        <v>0</v>
      </c>
      <c r="E55" s="1578">
        <v>0</v>
      </c>
      <c r="F55" s="186">
        <f t="shared" si="27"/>
        <v>0.71479999999999999</v>
      </c>
      <c r="G55" s="186">
        <f t="shared" si="28"/>
        <v>0.28959999999999997</v>
      </c>
      <c r="H55" s="478">
        <v>0</v>
      </c>
      <c r="I55" s="1292">
        <f t="shared" si="21"/>
        <v>578.73</v>
      </c>
      <c r="J55" s="1293">
        <f t="shared" si="22"/>
        <v>28.06789123869763</v>
      </c>
      <c r="K55" s="1294">
        <f t="shared" si="15"/>
        <v>3630.1212415104001</v>
      </c>
      <c r="L55" s="1294">
        <f t="shared" si="23"/>
        <v>0</v>
      </c>
      <c r="M55" s="1295">
        <f t="shared" si="16"/>
        <v>0</v>
      </c>
      <c r="N55" s="1249">
        <f t="shared" si="24"/>
        <v>0.19892488097366726</v>
      </c>
      <c r="O55" s="1249">
        <f t="shared" si="24"/>
        <v>0.26585903447659598</v>
      </c>
      <c r="P55" s="1249">
        <f t="shared" si="24"/>
        <v>8.9228108703258049E-2</v>
      </c>
      <c r="Q55" s="1249">
        <f t="shared" si="24"/>
        <v>0</v>
      </c>
      <c r="R55" s="1249">
        <f t="shared" si="24"/>
        <v>0</v>
      </c>
      <c r="S55" s="1249">
        <f t="shared" si="24"/>
        <v>0</v>
      </c>
      <c r="T55" s="1249">
        <f t="shared" si="24"/>
        <v>0.4459879758464787</v>
      </c>
      <c r="U55" s="1282">
        <f t="shared" si="18"/>
        <v>1</v>
      </c>
      <c r="V55" s="1283">
        <f t="shared" si="29"/>
        <v>0.29028184578274857</v>
      </c>
      <c r="W55" s="1249">
        <f t="shared" si="25"/>
        <v>0.30317187715157518</v>
      </c>
      <c r="X55" s="1249">
        <f t="shared" si="25"/>
        <v>8.2805443243048754E-2</v>
      </c>
      <c r="Y55" s="1249">
        <f t="shared" si="25"/>
        <v>0</v>
      </c>
      <c r="Z55" s="1249">
        <f t="shared" si="25"/>
        <v>0</v>
      </c>
      <c r="AA55" s="1249">
        <f t="shared" si="25"/>
        <v>0</v>
      </c>
      <c r="AB55" s="1249">
        <f t="shared" si="25"/>
        <v>0.32374083382262742</v>
      </c>
      <c r="AC55" s="1282">
        <f t="shared" si="26"/>
        <v>0.99999999999999989</v>
      </c>
    </row>
    <row r="56" spans="1:29">
      <c r="A56" s="187">
        <f t="shared" si="20"/>
        <v>1956</v>
      </c>
      <c r="B56" s="1655">
        <v>6.4651860000000001</v>
      </c>
      <c r="C56" s="409"/>
      <c r="D56" s="1577">
        <v>0</v>
      </c>
      <c r="E56" s="1578">
        <v>0</v>
      </c>
      <c r="F56" s="186">
        <f t="shared" si="27"/>
        <v>0.71479999999999999</v>
      </c>
      <c r="G56" s="186">
        <f t="shared" si="28"/>
        <v>0.28959999999999997</v>
      </c>
      <c r="H56" s="478">
        <v>0</v>
      </c>
      <c r="I56" s="1292">
        <f t="shared" si="21"/>
        <v>578.73</v>
      </c>
      <c r="J56" s="1293">
        <f t="shared" si="22"/>
        <v>28.06789123869763</v>
      </c>
      <c r="K56" s="1294">
        <f t="shared" si="15"/>
        <v>3741.5970937800003</v>
      </c>
      <c r="L56" s="1294">
        <f t="shared" si="23"/>
        <v>0</v>
      </c>
      <c r="M56" s="1295">
        <f t="shared" si="16"/>
        <v>0</v>
      </c>
      <c r="N56" s="1249">
        <f t="shared" si="24"/>
        <v>0.19892488097366726</v>
      </c>
      <c r="O56" s="1249">
        <f t="shared" si="24"/>
        <v>0.26585903447659598</v>
      </c>
      <c r="P56" s="1249">
        <f t="shared" si="24"/>
        <v>8.9228108703258049E-2</v>
      </c>
      <c r="Q56" s="1249">
        <f t="shared" si="24"/>
        <v>0</v>
      </c>
      <c r="R56" s="1249">
        <f t="shared" si="24"/>
        <v>0</v>
      </c>
      <c r="S56" s="1249">
        <f t="shared" si="24"/>
        <v>0</v>
      </c>
      <c r="T56" s="1249">
        <f t="shared" si="24"/>
        <v>0.4459879758464787</v>
      </c>
      <c r="U56" s="1282">
        <f t="shared" si="18"/>
        <v>1</v>
      </c>
      <c r="V56" s="1283">
        <f t="shared" si="29"/>
        <v>0.29028184578274857</v>
      </c>
      <c r="W56" s="1249">
        <f t="shared" si="25"/>
        <v>0.30317187715157518</v>
      </c>
      <c r="X56" s="1249">
        <f t="shared" si="25"/>
        <v>8.2805443243048754E-2</v>
      </c>
      <c r="Y56" s="1249">
        <f t="shared" si="25"/>
        <v>0</v>
      </c>
      <c r="Z56" s="1249">
        <f t="shared" si="25"/>
        <v>0</v>
      </c>
      <c r="AA56" s="1249">
        <f t="shared" si="25"/>
        <v>0</v>
      </c>
      <c r="AB56" s="1249">
        <f t="shared" si="25"/>
        <v>0.32374083382262742</v>
      </c>
      <c r="AC56" s="1282">
        <f t="shared" si="26"/>
        <v>0.99999999999999989</v>
      </c>
    </row>
    <row r="57" spans="1:29">
      <c r="A57" s="187">
        <f t="shared" si="20"/>
        <v>1957</v>
      </c>
      <c r="B57" s="1655">
        <v>6.6592707999999998</v>
      </c>
      <c r="C57" s="409"/>
      <c r="D57" s="1577">
        <v>0</v>
      </c>
      <c r="E57" s="1578">
        <v>0</v>
      </c>
      <c r="F57" s="186">
        <f t="shared" si="27"/>
        <v>0.71479999999999999</v>
      </c>
      <c r="G57" s="186">
        <f t="shared" si="28"/>
        <v>0.28959999999999997</v>
      </c>
      <c r="H57" s="478">
        <v>0</v>
      </c>
      <c r="I57" s="1292">
        <f t="shared" si="21"/>
        <v>578.73</v>
      </c>
      <c r="J57" s="1293">
        <f t="shared" si="22"/>
        <v>28.06789123869763</v>
      </c>
      <c r="K57" s="1294">
        <f t="shared" si="15"/>
        <v>3853.9197900839999</v>
      </c>
      <c r="L57" s="1294">
        <f t="shared" si="23"/>
        <v>0</v>
      </c>
      <c r="M57" s="1295">
        <f t="shared" si="16"/>
        <v>0</v>
      </c>
      <c r="N57" s="1249">
        <f t="shared" si="24"/>
        <v>0.19892488097366726</v>
      </c>
      <c r="O57" s="1249">
        <f t="shared" si="24"/>
        <v>0.26585903447659598</v>
      </c>
      <c r="P57" s="1249">
        <f t="shared" si="24"/>
        <v>8.9228108703258049E-2</v>
      </c>
      <c r="Q57" s="1249">
        <f t="shared" si="24"/>
        <v>0</v>
      </c>
      <c r="R57" s="1249">
        <f t="shared" si="24"/>
        <v>0</v>
      </c>
      <c r="S57" s="1249">
        <f t="shared" si="24"/>
        <v>0</v>
      </c>
      <c r="T57" s="1249">
        <f t="shared" si="24"/>
        <v>0.4459879758464787</v>
      </c>
      <c r="U57" s="1282">
        <f t="shared" si="18"/>
        <v>1</v>
      </c>
      <c r="V57" s="1283">
        <f t="shared" si="29"/>
        <v>0.29028184578274857</v>
      </c>
      <c r="W57" s="1249">
        <f t="shared" si="25"/>
        <v>0.30317187715157518</v>
      </c>
      <c r="X57" s="1249">
        <f t="shared" si="25"/>
        <v>8.2805443243048754E-2</v>
      </c>
      <c r="Y57" s="1249">
        <f t="shared" si="25"/>
        <v>0</v>
      </c>
      <c r="Z57" s="1249">
        <f t="shared" si="25"/>
        <v>0</v>
      </c>
      <c r="AA57" s="1249">
        <f t="shared" si="25"/>
        <v>0</v>
      </c>
      <c r="AB57" s="1249">
        <f t="shared" si="25"/>
        <v>0.32374083382262742</v>
      </c>
      <c r="AC57" s="1282">
        <f t="shared" si="26"/>
        <v>0.99999999999999989</v>
      </c>
    </row>
    <row r="58" spans="1:29">
      <c r="A58" s="187">
        <f t="shared" si="20"/>
        <v>1958</v>
      </c>
      <c r="B58" s="1655">
        <v>6.8699176</v>
      </c>
      <c r="C58" s="409"/>
      <c r="D58" s="1577">
        <v>0</v>
      </c>
      <c r="E58" s="1578">
        <v>0</v>
      </c>
      <c r="F58" s="186">
        <f t="shared" si="27"/>
        <v>0.71479999999999999</v>
      </c>
      <c r="G58" s="186">
        <f t="shared" si="28"/>
        <v>0.28959999999999997</v>
      </c>
      <c r="H58" s="478">
        <v>0</v>
      </c>
      <c r="I58" s="1292">
        <f t="shared" si="21"/>
        <v>578.73</v>
      </c>
      <c r="J58" s="1293">
        <f t="shared" si="22"/>
        <v>28.06789123869763</v>
      </c>
      <c r="K58" s="1294">
        <f t="shared" si="15"/>
        <v>3975.8274126480001</v>
      </c>
      <c r="L58" s="1294">
        <f t="shared" si="23"/>
        <v>0</v>
      </c>
      <c r="M58" s="1295">
        <f t="shared" si="16"/>
        <v>0</v>
      </c>
      <c r="N58" s="1249">
        <f t="shared" si="24"/>
        <v>0.19892488097366726</v>
      </c>
      <c r="O58" s="1249">
        <f t="shared" si="24"/>
        <v>0.26585903447659598</v>
      </c>
      <c r="P58" s="1249">
        <f t="shared" si="24"/>
        <v>8.9228108703258049E-2</v>
      </c>
      <c r="Q58" s="1249">
        <f t="shared" si="24"/>
        <v>0</v>
      </c>
      <c r="R58" s="1249">
        <f t="shared" si="24"/>
        <v>0</v>
      </c>
      <c r="S58" s="1249">
        <f t="shared" si="24"/>
        <v>0</v>
      </c>
      <c r="T58" s="1249">
        <f t="shared" si="24"/>
        <v>0.4459879758464787</v>
      </c>
      <c r="U58" s="1282">
        <f t="shared" si="18"/>
        <v>1</v>
      </c>
      <c r="V58" s="1283">
        <f t="shared" si="29"/>
        <v>0.29028184578274857</v>
      </c>
      <c r="W58" s="1249">
        <f t="shared" si="25"/>
        <v>0.30317187715157518</v>
      </c>
      <c r="X58" s="1249">
        <f t="shared" si="25"/>
        <v>8.2805443243048754E-2</v>
      </c>
      <c r="Y58" s="1249">
        <f t="shared" si="25"/>
        <v>0</v>
      </c>
      <c r="Z58" s="1249">
        <f t="shared" si="25"/>
        <v>0</v>
      </c>
      <c r="AA58" s="1249">
        <f t="shared" si="25"/>
        <v>0</v>
      </c>
      <c r="AB58" s="1249">
        <f t="shared" si="25"/>
        <v>0.32374083382262742</v>
      </c>
      <c r="AC58" s="1282">
        <f t="shared" si="26"/>
        <v>0.99999999999999989</v>
      </c>
    </row>
    <row r="59" spans="1:29">
      <c r="A59" s="187">
        <f t="shared" si="20"/>
        <v>1959</v>
      </c>
      <c r="B59" s="1655">
        <v>7.0827593200000001</v>
      </c>
      <c r="C59" s="409"/>
      <c r="D59" s="1577">
        <v>0</v>
      </c>
      <c r="E59" s="1578">
        <v>0</v>
      </c>
      <c r="F59" s="186">
        <f t="shared" si="27"/>
        <v>0.71479999999999999</v>
      </c>
      <c r="G59" s="186">
        <f t="shared" si="28"/>
        <v>0.28959999999999997</v>
      </c>
      <c r="H59" s="478">
        <v>0</v>
      </c>
      <c r="I59" s="1292">
        <f t="shared" si="21"/>
        <v>578.73</v>
      </c>
      <c r="J59" s="1293">
        <f t="shared" si="22"/>
        <v>28.06789123869763</v>
      </c>
      <c r="K59" s="1294">
        <f t="shared" si="15"/>
        <v>4099.0053012635999</v>
      </c>
      <c r="L59" s="1294">
        <f t="shared" si="23"/>
        <v>0</v>
      </c>
      <c r="M59" s="1295">
        <f t="shared" si="16"/>
        <v>0</v>
      </c>
      <c r="N59" s="1249">
        <f t="shared" si="24"/>
        <v>0.19892488097366726</v>
      </c>
      <c r="O59" s="1249">
        <f t="shared" si="24"/>
        <v>0.26585903447659598</v>
      </c>
      <c r="P59" s="1249">
        <f t="shared" si="24"/>
        <v>8.9228108703258049E-2</v>
      </c>
      <c r="Q59" s="1249">
        <f t="shared" si="24"/>
        <v>0</v>
      </c>
      <c r="R59" s="1249">
        <f t="shared" si="24"/>
        <v>0</v>
      </c>
      <c r="S59" s="1249">
        <f t="shared" si="24"/>
        <v>0</v>
      </c>
      <c r="T59" s="1249">
        <f t="shared" si="24"/>
        <v>0.4459879758464787</v>
      </c>
      <c r="U59" s="1282">
        <f t="shared" si="18"/>
        <v>1</v>
      </c>
      <c r="V59" s="1283">
        <f t="shared" si="29"/>
        <v>0.29028184578274857</v>
      </c>
      <c r="W59" s="1249">
        <f t="shared" si="25"/>
        <v>0.30317187715157518</v>
      </c>
      <c r="X59" s="1249">
        <f t="shared" si="25"/>
        <v>8.2805443243048754E-2</v>
      </c>
      <c r="Y59" s="1249">
        <f t="shared" si="25"/>
        <v>0</v>
      </c>
      <c r="Z59" s="1249">
        <f t="shared" si="25"/>
        <v>0</v>
      </c>
      <c r="AA59" s="1249">
        <f t="shared" si="25"/>
        <v>0</v>
      </c>
      <c r="AB59" s="1249">
        <f t="shared" si="25"/>
        <v>0.32374083382262742</v>
      </c>
      <c r="AC59" s="1282">
        <f t="shared" si="26"/>
        <v>0.99999999999999989</v>
      </c>
    </row>
    <row r="60" spans="1:29">
      <c r="A60" s="187">
        <f t="shared" si="20"/>
        <v>1960</v>
      </c>
      <c r="B60" s="1655">
        <v>7.2819655999999995</v>
      </c>
      <c r="C60" s="529"/>
      <c r="D60" s="1577">
        <v>0</v>
      </c>
      <c r="E60" s="1578">
        <v>0</v>
      </c>
      <c r="F60" s="186">
        <f t="shared" si="27"/>
        <v>0.71479999999999999</v>
      </c>
      <c r="G60" s="186">
        <f t="shared" si="28"/>
        <v>0.28959999999999997</v>
      </c>
      <c r="H60" s="478">
        <v>0</v>
      </c>
      <c r="I60" s="1292">
        <f t="shared" si="21"/>
        <v>578.73</v>
      </c>
      <c r="J60" s="1293">
        <f t="shared" si="22"/>
        <v>28.06789123869763</v>
      </c>
      <c r="K60" s="1294">
        <f t="shared" si="15"/>
        <v>4214.2919516880002</v>
      </c>
      <c r="L60" s="1294">
        <f t="shared" si="23"/>
        <v>0</v>
      </c>
      <c r="M60" s="1295">
        <f t="shared" si="16"/>
        <v>0</v>
      </c>
      <c r="N60" s="1249">
        <f t="shared" si="24"/>
        <v>0.19892488097366726</v>
      </c>
      <c r="O60" s="1249">
        <f t="shared" si="24"/>
        <v>0.26585903447659598</v>
      </c>
      <c r="P60" s="1249">
        <f t="shared" si="24"/>
        <v>8.9228108703258049E-2</v>
      </c>
      <c r="Q60" s="1249">
        <f t="shared" si="24"/>
        <v>0</v>
      </c>
      <c r="R60" s="1249">
        <f t="shared" si="24"/>
        <v>0</v>
      </c>
      <c r="S60" s="1249">
        <f t="shared" si="24"/>
        <v>0</v>
      </c>
      <c r="T60" s="1249">
        <f t="shared" si="24"/>
        <v>0.4459879758464787</v>
      </c>
      <c r="U60" s="1282">
        <f t="shared" si="18"/>
        <v>1</v>
      </c>
      <c r="V60" s="1283">
        <f t="shared" si="29"/>
        <v>0.29028184578274857</v>
      </c>
      <c r="W60" s="1249">
        <f t="shared" si="25"/>
        <v>0.30317187715157518</v>
      </c>
      <c r="X60" s="1249">
        <f t="shared" si="25"/>
        <v>8.2805443243048754E-2</v>
      </c>
      <c r="Y60" s="1249">
        <f t="shared" si="25"/>
        <v>0</v>
      </c>
      <c r="Z60" s="1249">
        <f t="shared" si="25"/>
        <v>0</v>
      </c>
      <c r="AA60" s="1249">
        <f t="shared" si="25"/>
        <v>0</v>
      </c>
      <c r="AB60" s="1249">
        <f t="shared" si="25"/>
        <v>0.32374083382262742</v>
      </c>
      <c r="AC60" s="1282">
        <f t="shared" si="26"/>
        <v>0.99999999999999989</v>
      </c>
    </row>
    <row r="61" spans="1:29">
      <c r="A61" s="187">
        <f t="shared" si="20"/>
        <v>1961</v>
      </c>
      <c r="B61" s="1655">
        <v>7.6498422000000001</v>
      </c>
      <c r="C61" s="528">
        <v>599.59447889563342</v>
      </c>
      <c r="D61" s="1577">
        <v>0</v>
      </c>
      <c r="E61" s="1578">
        <v>0</v>
      </c>
      <c r="F61" s="186">
        <f t="shared" si="27"/>
        <v>0.71479999999999999</v>
      </c>
      <c r="G61" s="186">
        <f t="shared" si="28"/>
        <v>0.28959999999999997</v>
      </c>
      <c r="H61" s="478">
        <v>0</v>
      </c>
      <c r="I61" s="1292">
        <f t="shared" si="21"/>
        <v>578.73</v>
      </c>
      <c r="J61" s="1293">
        <f t="shared" si="22"/>
        <v>28.06789123869763</v>
      </c>
      <c r="K61" s="1294">
        <f t="shared" si="15"/>
        <v>4427.193176406</v>
      </c>
      <c r="L61" s="1294">
        <f t="shared" si="23"/>
        <v>16829.35262096622</v>
      </c>
      <c r="M61" s="1295">
        <f t="shared" si="16"/>
        <v>16829.35262096622</v>
      </c>
      <c r="N61" s="1249">
        <f t="shared" si="24"/>
        <v>0.19892488097366726</v>
      </c>
      <c r="O61" s="1249">
        <f t="shared" si="24"/>
        <v>0.26585903447659598</v>
      </c>
      <c r="P61" s="1249">
        <f t="shared" si="24"/>
        <v>8.9228108703258049E-2</v>
      </c>
      <c r="Q61" s="1249">
        <f t="shared" si="24"/>
        <v>0</v>
      </c>
      <c r="R61" s="1249">
        <f t="shared" si="24"/>
        <v>0</v>
      </c>
      <c r="S61" s="1249">
        <f t="shared" si="24"/>
        <v>0</v>
      </c>
      <c r="T61" s="1249">
        <f t="shared" si="24"/>
        <v>0.4459879758464787</v>
      </c>
      <c r="U61" s="1282">
        <f t="shared" si="18"/>
        <v>1</v>
      </c>
      <c r="V61" s="1283">
        <f t="shared" si="29"/>
        <v>0.29028184578274857</v>
      </c>
      <c r="W61" s="1249">
        <f t="shared" si="25"/>
        <v>0.30317187715157518</v>
      </c>
      <c r="X61" s="1249">
        <f t="shared" si="25"/>
        <v>8.2805443243048754E-2</v>
      </c>
      <c r="Y61" s="1249">
        <f t="shared" si="25"/>
        <v>0</v>
      </c>
      <c r="Z61" s="1249">
        <f t="shared" si="25"/>
        <v>0</v>
      </c>
      <c r="AA61" s="1249">
        <f t="shared" si="25"/>
        <v>0</v>
      </c>
      <c r="AB61" s="1249">
        <f t="shared" si="25"/>
        <v>0.32374083382262742</v>
      </c>
      <c r="AC61" s="1282">
        <f t="shared" si="26"/>
        <v>0.99999999999999989</v>
      </c>
    </row>
    <row r="62" spans="1:29">
      <c r="A62" s="187">
        <f t="shared" si="20"/>
        <v>1962</v>
      </c>
      <c r="B62" s="1655">
        <v>7.8559936000000006</v>
      </c>
      <c r="C62" s="528">
        <v>636.63672484588017</v>
      </c>
      <c r="D62" s="1577">
        <v>0</v>
      </c>
      <c r="E62" s="1578">
        <v>0</v>
      </c>
      <c r="F62" s="186">
        <f t="shared" si="27"/>
        <v>0.71479999999999999</v>
      </c>
      <c r="G62" s="186">
        <f t="shared" si="28"/>
        <v>0.28959999999999997</v>
      </c>
      <c r="H62" s="478">
        <v>0</v>
      </c>
      <c r="I62" s="1292">
        <f t="shared" si="21"/>
        <v>578.73</v>
      </c>
      <c r="J62" s="1293">
        <f t="shared" si="22"/>
        <v>28.06789123869763</v>
      </c>
      <c r="K62" s="1294">
        <f t="shared" si="15"/>
        <v>4546.4991761280007</v>
      </c>
      <c r="L62" s="1294">
        <f t="shared" si="23"/>
        <v>17869.050351534835</v>
      </c>
      <c r="M62" s="1295">
        <f t="shared" si="16"/>
        <v>17869.050351534835</v>
      </c>
      <c r="N62" s="1249">
        <f t="shared" si="24"/>
        <v>0.19892488097366726</v>
      </c>
      <c r="O62" s="1249">
        <f t="shared" si="24"/>
        <v>0.26585903447659598</v>
      </c>
      <c r="P62" s="1249">
        <f t="shared" si="24"/>
        <v>8.9228108703258049E-2</v>
      </c>
      <c r="Q62" s="1249">
        <f t="shared" si="24"/>
        <v>0</v>
      </c>
      <c r="R62" s="1249">
        <f t="shared" si="24"/>
        <v>0</v>
      </c>
      <c r="S62" s="1249">
        <f t="shared" si="24"/>
        <v>0</v>
      </c>
      <c r="T62" s="1249">
        <f t="shared" si="24"/>
        <v>0.4459879758464787</v>
      </c>
      <c r="U62" s="1282">
        <f t="shared" si="18"/>
        <v>1</v>
      </c>
      <c r="V62" s="1283">
        <f t="shared" si="29"/>
        <v>0.29028184578274857</v>
      </c>
      <c r="W62" s="1249">
        <f t="shared" si="25"/>
        <v>0.30317187715157518</v>
      </c>
      <c r="X62" s="1249">
        <f t="shared" si="25"/>
        <v>8.2805443243048754E-2</v>
      </c>
      <c r="Y62" s="1249">
        <f t="shared" si="25"/>
        <v>0</v>
      </c>
      <c r="Z62" s="1249">
        <f t="shared" si="25"/>
        <v>0</v>
      </c>
      <c r="AA62" s="1249">
        <f t="shared" si="25"/>
        <v>0</v>
      </c>
      <c r="AB62" s="1249">
        <f t="shared" si="25"/>
        <v>0.32374083382262742</v>
      </c>
      <c r="AC62" s="1282">
        <f t="shared" si="26"/>
        <v>0.99999999999999989</v>
      </c>
    </row>
    <row r="63" spans="1:29">
      <c r="A63" s="187">
        <f t="shared" si="20"/>
        <v>1963</v>
      </c>
      <c r="B63" s="1655">
        <v>8.062145000000001</v>
      </c>
      <c r="C63" s="528">
        <v>683.57985178312117</v>
      </c>
      <c r="D63" s="1577">
        <v>0</v>
      </c>
      <c r="E63" s="1578">
        <v>0</v>
      </c>
      <c r="F63" s="186">
        <f t="shared" si="27"/>
        <v>0.71479999999999999</v>
      </c>
      <c r="G63" s="186">
        <f t="shared" si="28"/>
        <v>0.28959999999999997</v>
      </c>
      <c r="H63" s="478">
        <v>0</v>
      </c>
      <c r="I63" s="1292">
        <f t="shared" si="21"/>
        <v>578.73</v>
      </c>
      <c r="J63" s="1293">
        <f t="shared" si="22"/>
        <v>28.06789123869763</v>
      </c>
      <c r="K63" s="1294">
        <f t="shared" si="15"/>
        <v>4665.8051758500005</v>
      </c>
      <c r="L63" s="1294">
        <f t="shared" si="23"/>
        <v>19186.644932813691</v>
      </c>
      <c r="M63" s="1295">
        <f t="shared" si="16"/>
        <v>19186.644932813691</v>
      </c>
      <c r="N63" s="1249">
        <f t="shared" si="24"/>
        <v>0.19892488097366726</v>
      </c>
      <c r="O63" s="1249">
        <f t="shared" si="24"/>
        <v>0.26585903447659598</v>
      </c>
      <c r="P63" s="1249">
        <f t="shared" si="24"/>
        <v>8.9228108703258049E-2</v>
      </c>
      <c r="Q63" s="1249">
        <f t="shared" si="24"/>
        <v>0</v>
      </c>
      <c r="R63" s="1249">
        <f t="shared" si="24"/>
        <v>0</v>
      </c>
      <c r="S63" s="1249">
        <f t="shared" si="24"/>
        <v>0</v>
      </c>
      <c r="T63" s="1249">
        <f t="shared" si="24"/>
        <v>0.4459879758464787</v>
      </c>
      <c r="U63" s="1282">
        <f t="shared" si="18"/>
        <v>1</v>
      </c>
      <c r="V63" s="1283">
        <f t="shared" si="29"/>
        <v>0.29028184578274857</v>
      </c>
      <c r="W63" s="1249">
        <f t="shared" si="25"/>
        <v>0.30317187715157518</v>
      </c>
      <c r="X63" s="1249">
        <f t="shared" si="25"/>
        <v>8.2805443243048754E-2</v>
      </c>
      <c r="Y63" s="1249">
        <f t="shared" si="25"/>
        <v>0</v>
      </c>
      <c r="Z63" s="1249">
        <f t="shared" si="25"/>
        <v>0</v>
      </c>
      <c r="AA63" s="1249">
        <f t="shared" si="25"/>
        <v>0</v>
      </c>
      <c r="AB63" s="1249">
        <f t="shared" si="25"/>
        <v>0.32374083382262742</v>
      </c>
      <c r="AC63" s="1282">
        <f t="shared" si="26"/>
        <v>0.99999999999999989</v>
      </c>
    </row>
    <row r="64" spans="1:29">
      <c r="A64" s="187">
        <f t="shared" si="20"/>
        <v>1964</v>
      </c>
      <c r="B64" s="1655">
        <v>8.2682964000000005</v>
      </c>
      <c r="C64" s="528">
        <v>737.85459954797477</v>
      </c>
      <c r="D64" s="1577">
        <v>0</v>
      </c>
      <c r="E64" s="1578">
        <v>0</v>
      </c>
      <c r="F64" s="186">
        <f t="shared" si="27"/>
        <v>0.71479999999999999</v>
      </c>
      <c r="G64" s="186">
        <f t="shared" si="28"/>
        <v>0.28959999999999997</v>
      </c>
      <c r="H64" s="478">
        <v>0</v>
      </c>
      <c r="I64" s="1292">
        <f t="shared" si="21"/>
        <v>578.73</v>
      </c>
      <c r="J64" s="1293">
        <f t="shared" si="22"/>
        <v>28.06789123869763</v>
      </c>
      <c r="K64" s="1294">
        <f t="shared" si="15"/>
        <v>4785.1111755720003</v>
      </c>
      <c r="L64" s="1294">
        <f t="shared" si="23"/>
        <v>20710.02265008535</v>
      </c>
      <c r="M64" s="1295">
        <f t="shared" si="16"/>
        <v>20710.02265008535</v>
      </c>
      <c r="N64" s="1249">
        <f t="shared" si="24"/>
        <v>0.19892488097366726</v>
      </c>
      <c r="O64" s="1249">
        <f t="shared" si="24"/>
        <v>0.26585903447659598</v>
      </c>
      <c r="P64" s="1249">
        <f t="shared" si="24"/>
        <v>8.9228108703258049E-2</v>
      </c>
      <c r="Q64" s="1249">
        <f t="shared" si="24"/>
        <v>0</v>
      </c>
      <c r="R64" s="1249">
        <f t="shared" si="24"/>
        <v>0</v>
      </c>
      <c r="S64" s="1249">
        <f t="shared" si="24"/>
        <v>0</v>
      </c>
      <c r="T64" s="1249">
        <f t="shared" si="24"/>
        <v>0.4459879758464787</v>
      </c>
      <c r="U64" s="1282">
        <f t="shared" si="18"/>
        <v>1</v>
      </c>
      <c r="V64" s="1283">
        <f t="shared" si="29"/>
        <v>0.29028184578274857</v>
      </c>
      <c r="W64" s="1249">
        <f t="shared" si="25"/>
        <v>0.30317187715157518</v>
      </c>
      <c r="X64" s="1249">
        <f t="shared" si="25"/>
        <v>8.2805443243048754E-2</v>
      </c>
      <c r="Y64" s="1249">
        <f t="shared" si="25"/>
        <v>0</v>
      </c>
      <c r="Z64" s="1249">
        <f t="shared" si="25"/>
        <v>0</v>
      </c>
      <c r="AA64" s="1249">
        <f t="shared" si="25"/>
        <v>0</v>
      </c>
      <c r="AB64" s="1249">
        <f t="shared" si="25"/>
        <v>0.32374083382262742</v>
      </c>
      <c r="AC64" s="1282">
        <f t="shared" si="26"/>
        <v>0.99999999999999989</v>
      </c>
    </row>
    <row r="65" spans="1:29">
      <c r="A65" s="187">
        <f t="shared" si="20"/>
        <v>1965</v>
      </c>
      <c r="B65" s="1655">
        <v>8.4744478000000001</v>
      </c>
      <c r="C65" s="528">
        <v>783.03167192931596</v>
      </c>
      <c r="D65" s="1577">
        <v>0</v>
      </c>
      <c r="E65" s="1578">
        <v>0</v>
      </c>
      <c r="F65" s="186">
        <f t="shared" si="27"/>
        <v>0.71479999999999999</v>
      </c>
      <c r="G65" s="186">
        <f t="shared" si="28"/>
        <v>0.28959999999999997</v>
      </c>
      <c r="H65" s="478">
        <v>0</v>
      </c>
      <c r="I65" s="1292">
        <f t="shared" si="21"/>
        <v>578.73</v>
      </c>
      <c r="J65" s="1293">
        <f t="shared" si="22"/>
        <v>28.06789123869763</v>
      </c>
      <c r="K65" s="1294">
        <f t="shared" si="15"/>
        <v>4904.4171752940001</v>
      </c>
      <c r="L65" s="1294">
        <f t="shared" si="23"/>
        <v>21978.047804167603</v>
      </c>
      <c r="M65" s="1295">
        <f t="shared" si="16"/>
        <v>21978.047804167603</v>
      </c>
      <c r="N65" s="1249">
        <f t="shared" si="24"/>
        <v>0.19892488097366726</v>
      </c>
      <c r="O65" s="1249">
        <f t="shared" si="24"/>
        <v>0.26585903447659598</v>
      </c>
      <c r="P65" s="1249">
        <f t="shared" si="24"/>
        <v>8.9228108703258049E-2</v>
      </c>
      <c r="Q65" s="1249">
        <f t="shared" si="24"/>
        <v>0</v>
      </c>
      <c r="R65" s="1249">
        <f t="shared" si="24"/>
        <v>0</v>
      </c>
      <c r="S65" s="1249">
        <f t="shared" si="24"/>
        <v>0</v>
      </c>
      <c r="T65" s="1249">
        <f t="shared" si="24"/>
        <v>0.4459879758464787</v>
      </c>
      <c r="U65" s="1282">
        <f t="shared" si="18"/>
        <v>1</v>
      </c>
      <c r="V65" s="1283">
        <f t="shared" si="29"/>
        <v>0.29028184578274857</v>
      </c>
      <c r="W65" s="1249">
        <f t="shared" si="25"/>
        <v>0.30317187715157518</v>
      </c>
      <c r="X65" s="1249">
        <f t="shared" si="25"/>
        <v>8.2805443243048754E-2</v>
      </c>
      <c r="Y65" s="1249">
        <f t="shared" si="25"/>
        <v>0</v>
      </c>
      <c r="Z65" s="1249">
        <f t="shared" si="25"/>
        <v>0</v>
      </c>
      <c r="AA65" s="1249">
        <f t="shared" si="25"/>
        <v>0</v>
      </c>
      <c r="AB65" s="1249">
        <f t="shared" si="25"/>
        <v>0.32374083382262742</v>
      </c>
      <c r="AC65" s="1282">
        <f t="shared" si="26"/>
        <v>0.99999999999999989</v>
      </c>
    </row>
    <row r="66" spans="1:29">
      <c r="A66" s="187">
        <f t="shared" si="20"/>
        <v>1966</v>
      </c>
      <c r="B66" s="1655">
        <v>8.7407319999999995</v>
      </c>
      <c r="C66" s="528">
        <v>817.78503135778317</v>
      </c>
      <c r="D66" s="1577">
        <v>0</v>
      </c>
      <c r="E66" s="1578">
        <v>0</v>
      </c>
      <c r="F66" s="186">
        <f t="shared" si="27"/>
        <v>0.71479999999999999</v>
      </c>
      <c r="G66" s="186">
        <f t="shared" si="28"/>
        <v>0.28959999999999997</v>
      </c>
      <c r="H66" s="478">
        <v>0</v>
      </c>
      <c r="I66" s="1292">
        <f t="shared" si="21"/>
        <v>578.73</v>
      </c>
      <c r="J66" s="1293">
        <f t="shared" si="22"/>
        <v>28.06789123869763</v>
      </c>
      <c r="K66" s="1294">
        <f t="shared" si="15"/>
        <v>5058.5238303599999</v>
      </c>
      <c r="L66" s="1294">
        <f t="shared" si="23"/>
        <v>22953.50131678519</v>
      </c>
      <c r="M66" s="1295">
        <f t="shared" si="16"/>
        <v>22953.50131678519</v>
      </c>
      <c r="N66" s="1249">
        <f t="shared" si="24"/>
        <v>0.19892488097366726</v>
      </c>
      <c r="O66" s="1249">
        <f t="shared" si="24"/>
        <v>0.26585903447659598</v>
      </c>
      <c r="P66" s="1249">
        <f t="shared" si="24"/>
        <v>8.9228108703258049E-2</v>
      </c>
      <c r="Q66" s="1249">
        <f t="shared" si="24"/>
        <v>0</v>
      </c>
      <c r="R66" s="1249">
        <f t="shared" si="24"/>
        <v>0</v>
      </c>
      <c r="S66" s="1249">
        <f t="shared" si="24"/>
        <v>0</v>
      </c>
      <c r="T66" s="1249">
        <f t="shared" si="24"/>
        <v>0.4459879758464787</v>
      </c>
      <c r="U66" s="1282">
        <f t="shared" si="18"/>
        <v>1</v>
      </c>
      <c r="V66" s="1283">
        <f t="shared" si="29"/>
        <v>0.29028184578274857</v>
      </c>
      <c r="W66" s="1249">
        <f t="shared" si="25"/>
        <v>0.30317187715157518</v>
      </c>
      <c r="X66" s="1249">
        <f t="shared" si="25"/>
        <v>8.2805443243048754E-2</v>
      </c>
      <c r="Y66" s="1249">
        <f t="shared" si="25"/>
        <v>0</v>
      </c>
      <c r="Z66" s="1249">
        <f t="shared" si="25"/>
        <v>0</v>
      </c>
      <c r="AA66" s="1249">
        <f t="shared" si="25"/>
        <v>0</v>
      </c>
      <c r="AB66" s="1249">
        <f t="shared" si="25"/>
        <v>0.32374083382262742</v>
      </c>
      <c r="AC66" s="1282">
        <f t="shared" si="26"/>
        <v>0.99999999999999989</v>
      </c>
    </row>
    <row r="67" spans="1:29">
      <c r="A67" s="187">
        <f t="shared" si="20"/>
        <v>1967</v>
      </c>
      <c r="B67" s="1655">
        <v>9.0098299199999996</v>
      </c>
      <c r="C67" s="528">
        <v>876.63755217357675</v>
      </c>
      <c r="D67" s="1577">
        <v>0</v>
      </c>
      <c r="E67" s="1578">
        <v>0</v>
      </c>
      <c r="F67" s="186">
        <f t="shared" si="27"/>
        <v>0.71479999999999999</v>
      </c>
      <c r="G67" s="186">
        <f t="shared" si="28"/>
        <v>0.28959999999999997</v>
      </c>
      <c r="H67" s="478">
        <v>0</v>
      </c>
      <c r="I67" s="1292">
        <f t="shared" si="21"/>
        <v>578.73</v>
      </c>
      <c r="J67" s="1293">
        <f t="shared" si="22"/>
        <v>28.06789123869763</v>
      </c>
      <c r="K67" s="1294">
        <f t="shared" si="15"/>
        <v>5214.2588696016001</v>
      </c>
      <c r="L67" s="1294">
        <f t="shared" si="23"/>
        <v>24605.367470166071</v>
      </c>
      <c r="M67" s="1295">
        <f t="shared" si="16"/>
        <v>24605.367470166071</v>
      </c>
      <c r="N67" s="1249">
        <f t="shared" ref="N67:T82" si="30">N66</f>
        <v>0.19892488097366726</v>
      </c>
      <c r="O67" s="1249">
        <f t="shared" si="30"/>
        <v>0.26585903447659598</v>
      </c>
      <c r="P67" s="1249">
        <f t="shared" si="30"/>
        <v>8.9228108703258049E-2</v>
      </c>
      <c r="Q67" s="1249">
        <f t="shared" si="30"/>
        <v>0</v>
      </c>
      <c r="R67" s="1249">
        <f t="shared" si="30"/>
        <v>0</v>
      </c>
      <c r="S67" s="1249">
        <f t="shared" si="30"/>
        <v>0</v>
      </c>
      <c r="T67" s="1249">
        <f t="shared" si="30"/>
        <v>0.4459879758464787</v>
      </c>
      <c r="U67" s="1282">
        <f t="shared" si="18"/>
        <v>1</v>
      </c>
      <c r="V67" s="1283">
        <f t="shared" si="29"/>
        <v>0.29028184578274857</v>
      </c>
      <c r="W67" s="1249">
        <f t="shared" si="29"/>
        <v>0.30317187715157518</v>
      </c>
      <c r="X67" s="1249">
        <f t="shared" si="29"/>
        <v>8.2805443243048754E-2</v>
      </c>
      <c r="Y67" s="1249">
        <f t="shared" si="29"/>
        <v>0</v>
      </c>
      <c r="Z67" s="1249">
        <f t="shared" si="29"/>
        <v>0</v>
      </c>
      <c r="AA67" s="1249">
        <f t="shared" si="29"/>
        <v>0</v>
      </c>
      <c r="AB67" s="1249">
        <f t="shared" si="29"/>
        <v>0.32374083382262742</v>
      </c>
      <c r="AC67" s="1282">
        <f t="shared" si="26"/>
        <v>0.99999999999999989</v>
      </c>
    </row>
    <row r="68" spans="1:29">
      <c r="A68" s="187">
        <f t="shared" si="20"/>
        <v>1968</v>
      </c>
      <c r="B68" s="1655">
        <v>9.2808861600000014</v>
      </c>
      <c r="C68" s="528">
        <v>913.04820912190667</v>
      </c>
      <c r="D68" s="1577">
        <v>0</v>
      </c>
      <c r="E68" s="1578">
        <v>0</v>
      </c>
      <c r="F68" s="186">
        <f t="shared" si="27"/>
        <v>0.71479999999999999</v>
      </c>
      <c r="G68" s="186">
        <f t="shared" si="28"/>
        <v>0.28959999999999997</v>
      </c>
      <c r="H68" s="478">
        <v>0</v>
      </c>
      <c r="I68" s="1292">
        <f t="shared" si="21"/>
        <v>578.73</v>
      </c>
      <c r="J68" s="1293">
        <f t="shared" si="22"/>
        <v>28.06789123869763</v>
      </c>
      <c r="K68" s="1294">
        <f t="shared" si="15"/>
        <v>5371.1272473768013</v>
      </c>
      <c r="L68" s="1294">
        <f t="shared" si="23"/>
        <v>25627.337829321325</v>
      </c>
      <c r="M68" s="1295">
        <f t="shared" si="16"/>
        <v>25627.337829321325</v>
      </c>
      <c r="N68" s="1249">
        <f t="shared" si="30"/>
        <v>0.19892488097366726</v>
      </c>
      <c r="O68" s="1249">
        <f t="shared" si="30"/>
        <v>0.26585903447659598</v>
      </c>
      <c r="P68" s="1249">
        <f t="shared" si="30"/>
        <v>8.9228108703258049E-2</v>
      </c>
      <c r="Q68" s="1249">
        <f t="shared" si="30"/>
        <v>0</v>
      </c>
      <c r="R68" s="1249">
        <f t="shared" si="30"/>
        <v>0</v>
      </c>
      <c r="S68" s="1249">
        <f t="shared" si="30"/>
        <v>0</v>
      </c>
      <c r="T68" s="1249">
        <f t="shared" si="30"/>
        <v>0.4459879758464787</v>
      </c>
      <c r="U68" s="1282">
        <f t="shared" si="18"/>
        <v>1</v>
      </c>
      <c r="V68" s="1283">
        <f t="shared" ref="V68:AB83" si="31">V67</f>
        <v>0.29028184578274857</v>
      </c>
      <c r="W68" s="1249">
        <f t="shared" si="31"/>
        <v>0.30317187715157518</v>
      </c>
      <c r="X68" s="1249">
        <f t="shared" si="31"/>
        <v>8.2805443243048754E-2</v>
      </c>
      <c r="Y68" s="1249">
        <f t="shared" si="31"/>
        <v>0</v>
      </c>
      <c r="Z68" s="1249">
        <f t="shared" si="31"/>
        <v>0</v>
      </c>
      <c r="AA68" s="1249">
        <f t="shared" si="31"/>
        <v>0</v>
      </c>
      <c r="AB68" s="1249">
        <f t="shared" si="31"/>
        <v>0.32374083382262742</v>
      </c>
      <c r="AC68" s="1282">
        <f t="shared" si="26"/>
        <v>0.99999999999999989</v>
      </c>
    </row>
    <row r="69" spans="1:29">
      <c r="A69" s="187">
        <f t="shared" si="20"/>
        <v>1969</v>
      </c>
      <c r="B69" s="1655">
        <v>9.5539007199999997</v>
      </c>
      <c r="C69" s="528">
        <v>956.10601604260387</v>
      </c>
      <c r="D69" s="1577">
        <v>0</v>
      </c>
      <c r="E69" s="1578">
        <v>0</v>
      </c>
      <c r="F69" s="186">
        <f t="shared" si="27"/>
        <v>0.71479999999999999</v>
      </c>
      <c r="G69" s="186">
        <f t="shared" si="28"/>
        <v>0.28959999999999997</v>
      </c>
      <c r="H69" s="478">
        <v>0</v>
      </c>
      <c r="I69" s="1292">
        <f t="shared" si="21"/>
        <v>578.73</v>
      </c>
      <c r="J69" s="1293">
        <f t="shared" si="22"/>
        <v>28.06789123869763</v>
      </c>
      <c r="K69" s="1294">
        <f t="shared" si="15"/>
        <v>5529.1289636856</v>
      </c>
      <c r="L69" s="1294">
        <f t="shared" si="23"/>
        <v>26835.879670948296</v>
      </c>
      <c r="M69" s="1295">
        <f t="shared" si="16"/>
        <v>26835.879670948296</v>
      </c>
      <c r="N69" s="1249">
        <f t="shared" si="30"/>
        <v>0.19892488097366726</v>
      </c>
      <c r="O69" s="1249">
        <f t="shared" si="30"/>
        <v>0.26585903447659598</v>
      </c>
      <c r="P69" s="1249">
        <f t="shared" si="30"/>
        <v>8.9228108703258049E-2</v>
      </c>
      <c r="Q69" s="1249">
        <f t="shared" si="30"/>
        <v>0</v>
      </c>
      <c r="R69" s="1249">
        <f t="shared" si="30"/>
        <v>0</v>
      </c>
      <c r="S69" s="1249">
        <f t="shared" si="30"/>
        <v>0</v>
      </c>
      <c r="T69" s="1249">
        <f t="shared" si="30"/>
        <v>0.4459879758464787</v>
      </c>
      <c r="U69" s="1282">
        <f t="shared" si="18"/>
        <v>1</v>
      </c>
      <c r="V69" s="1283">
        <f t="shared" si="31"/>
        <v>0.29028184578274857</v>
      </c>
      <c r="W69" s="1249">
        <f t="shared" si="31"/>
        <v>0.30317187715157518</v>
      </c>
      <c r="X69" s="1249">
        <f t="shared" si="31"/>
        <v>8.2805443243048754E-2</v>
      </c>
      <c r="Y69" s="1249">
        <f t="shared" si="31"/>
        <v>0</v>
      </c>
      <c r="Z69" s="1249">
        <f t="shared" si="31"/>
        <v>0</v>
      </c>
      <c r="AA69" s="1249">
        <f t="shared" si="31"/>
        <v>0</v>
      </c>
      <c r="AB69" s="1249">
        <f t="shared" si="31"/>
        <v>0.32374083382262742</v>
      </c>
      <c r="AC69" s="1282">
        <f t="shared" si="26"/>
        <v>0.99999999999999989</v>
      </c>
    </row>
    <row r="70" spans="1:29">
      <c r="A70" s="187">
        <f t="shared" si="20"/>
        <v>1970</v>
      </c>
      <c r="B70" s="1655">
        <v>9.8288735999999997</v>
      </c>
      <c r="C70" s="528">
        <v>1006.2889052098111</v>
      </c>
      <c r="D70" s="1577">
        <v>0</v>
      </c>
      <c r="E70" s="1578">
        <v>0</v>
      </c>
      <c r="F70" s="186">
        <f t="shared" si="27"/>
        <v>0.71479999999999999</v>
      </c>
      <c r="G70" s="186">
        <f t="shared" si="28"/>
        <v>0.28959999999999997</v>
      </c>
      <c r="H70" s="478">
        <v>0</v>
      </c>
      <c r="I70" s="1292">
        <f t="shared" si="21"/>
        <v>578.73</v>
      </c>
      <c r="J70" s="1293">
        <f t="shared" si="22"/>
        <v>28.06789123869763</v>
      </c>
      <c r="K70" s="1294">
        <f t="shared" si="15"/>
        <v>5688.2640185279997</v>
      </c>
      <c r="L70" s="1294">
        <f t="shared" si="23"/>
        <v>28244.407546137089</v>
      </c>
      <c r="M70" s="1295">
        <f t="shared" si="16"/>
        <v>28244.407546137089</v>
      </c>
      <c r="N70" s="1249">
        <f t="shared" si="30"/>
        <v>0.19892488097366726</v>
      </c>
      <c r="O70" s="1249">
        <f t="shared" si="30"/>
        <v>0.26585903447659598</v>
      </c>
      <c r="P70" s="1249">
        <f t="shared" si="30"/>
        <v>8.9228108703258049E-2</v>
      </c>
      <c r="Q70" s="1249">
        <f t="shared" si="30"/>
        <v>0</v>
      </c>
      <c r="R70" s="1249">
        <f t="shared" si="30"/>
        <v>0</v>
      </c>
      <c r="S70" s="1249">
        <f t="shared" si="30"/>
        <v>0</v>
      </c>
      <c r="T70" s="1249">
        <f t="shared" si="30"/>
        <v>0.4459879758464787</v>
      </c>
      <c r="U70" s="1282">
        <f t="shared" si="18"/>
        <v>1</v>
      </c>
      <c r="V70" s="1283">
        <f t="shared" si="31"/>
        <v>0.29028184578274857</v>
      </c>
      <c r="W70" s="1249">
        <f t="shared" si="31"/>
        <v>0.30317187715157518</v>
      </c>
      <c r="X70" s="1249">
        <f t="shared" si="31"/>
        <v>8.2805443243048754E-2</v>
      </c>
      <c r="Y70" s="1249">
        <f t="shared" si="31"/>
        <v>0</v>
      </c>
      <c r="Z70" s="1249">
        <f t="shared" si="31"/>
        <v>0</v>
      </c>
      <c r="AA70" s="1249">
        <f t="shared" si="31"/>
        <v>0</v>
      </c>
      <c r="AB70" s="1249">
        <f t="shared" si="31"/>
        <v>0.32374083382262742</v>
      </c>
      <c r="AC70" s="1282">
        <f t="shared" si="26"/>
        <v>0.99999999999999989</v>
      </c>
    </row>
    <row r="71" spans="1:29">
      <c r="A71" s="187">
        <f t="shared" si="20"/>
        <v>1971</v>
      </c>
      <c r="B71" s="1655">
        <v>20.567820000000001</v>
      </c>
      <c r="C71" s="528">
        <v>1049.3477098940468</v>
      </c>
      <c r="D71" s="1577">
        <v>0</v>
      </c>
      <c r="E71" s="1578">
        <v>0</v>
      </c>
      <c r="F71" s="186">
        <f t="shared" si="27"/>
        <v>0.71479999999999999</v>
      </c>
      <c r="G71" s="186">
        <f t="shared" si="28"/>
        <v>0.28959999999999997</v>
      </c>
      <c r="H71" s="478">
        <v>0</v>
      </c>
      <c r="I71" s="1292">
        <f t="shared" si="21"/>
        <v>578.73</v>
      </c>
      <c r="J71" s="1293">
        <f t="shared" si="22"/>
        <v>28.06789123869763</v>
      </c>
      <c r="K71" s="1294">
        <f t="shared" si="15"/>
        <v>11903.214468600001</v>
      </c>
      <c r="L71" s="1294">
        <f t="shared" si="23"/>
        <v>29452.977392882538</v>
      </c>
      <c r="M71" s="1295">
        <f t="shared" si="16"/>
        <v>29452.977392882538</v>
      </c>
      <c r="N71" s="1249">
        <f t="shared" si="30"/>
        <v>0.19892488097366726</v>
      </c>
      <c r="O71" s="1249">
        <f t="shared" si="30"/>
        <v>0.26585903447659598</v>
      </c>
      <c r="P71" s="1249">
        <f t="shared" si="30"/>
        <v>8.9228108703258049E-2</v>
      </c>
      <c r="Q71" s="1249">
        <f t="shared" si="30"/>
        <v>0</v>
      </c>
      <c r="R71" s="1249">
        <f t="shared" si="30"/>
        <v>0</v>
      </c>
      <c r="S71" s="1249">
        <f t="shared" si="30"/>
        <v>0</v>
      </c>
      <c r="T71" s="1249">
        <f t="shared" si="30"/>
        <v>0.4459879758464787</v>
      </c>
      <c r="U71" s="1282">
        <f t="shared" si="18"/>
        <v>1</v>
      </c>
      <c r="V71" s="1283">
        <f t="shared" si="31"/>
        <v>0.29028184578274857</v>
      </c>
      <c r="W71" s="1249">
        <f t="shared" si="31"/>
        <v>0.30317187715157518</v>
      </c>
      <c r="X71" s="1249">
        <f t="shared" si="31"/>
        <v>8.2805443243048754E-2</v>
      </c>
      <c r="Y71" s="1249">
        <f t="shared" si="31"/>
        <v>0</v>
      </c>
      <c r="Z71" s="1249">
        <f t="shared" si="31"/>
        <v>0</v>
      </c>
      <c r="AA71" s="1249">
        <f t="shared" si="31"/>
        <v>0</v>
      </c>
      <c r="AB71" s="1249">
        <f t="shared" si="31"/>
        <v>0.32374083382262742</v>
      </c>
      <c r="AC71" s="1282">
        <f t="shared" si="26"/>
        <v>0.99999999999999989</v>
      </c>
    </row>
    <row r="72" spans="1:29">
      <c r="A72" s="187">
        <f t="shared" si="20"/>
        <v>1972</v>
      </c>
      <c r="B72" s="1655">
        <v>21.04466</v>
      </c>
      <c r="C72" s="528">
        <v>1066.7119174754762</v>
      </c>
      <c r="D72" s="1577">
        <v>0</v>
      </c>
      <c r="E72" s="1578">
        <v>0</v>
      </c>
      <c r="F72" s="186">
        <f t="shared" si="27"/>
        <v>0.71479999999999999</v>
      </c>
      <c r="G72" s="186">
        <f t="shared" si="28"/>
        <v>0.28959999999999997</v>
      </c>
      <c r="H72" s="478">
        <v>0</v>
      </c>
      <c r="I72" s="1292">
        <f t="shared" si="21"/>
        <v>578.73</v>
      </c>
      <c r="J72" s="1293">
        <f t="shared" si="22"/>
        <v>28.06789123869763</v>
      </c>
      <c r="K72" s="1294">
        <f t="shared" si="15"/>
        <v>12179.1760818</v>
      </c>
      <c r="L72" s="1294">
        <f t="shared" si="23"/>
        <v>29940.354082724269</v>
      </c>
      <c r="M72" s="1295">
        <f t="shared" si="16"/>
        <v>29940.354082724269</v>
      </c>
      <c r="N72" s="1249">
        <f t="shared" si="30"/>
        <v>0.19892488097366726</v>
      </c>
      <c r="O72" s="1249">
        <f t="shared" si="30"/>
        <v>0.26585903447659598</v>
      </c>
      <c r="P72" s="1249">
        <f t="shared" si="30"/>
        <v>8.9228108703258049E-2</v>
      </c>
      <c r="Q72" s="1249">
        <f t="shared" si="30"/>
        <v>0</v>
      </c>
      <c r="R72" s="1249">
        <f t="shared" si="30"/>
        <v>0</v>
      </c>
      <c r="S72" s="1249">
        <f t="shared" si="30"/>
        <v>0</v>
      </c>
      <c r="T72" s="1249">
        <f t="shared" si="30"/>
        <v>0.4459879758464787</v>
      </c>
      <c r="U72" s="1282">
        <f t="shared" si="18"/>
        <v>1</v>
      </c>
      <c r="V72" s="1283">
        <f t="shared" si="31"/>
        <v>0.29028184578274857</v>
      </c>
      <c r="W72" s="1249">
        <f t="shared" si="31"/>
        <v>0.30317187715157518</v>
      </c>
      <c r="X72" s="1249">
        <f t="shared" si="31"/>
        <v>8.2805443243048754E-2</v>
      </c>
      <c r="Y72" s="1249">
        <f t="shared" si="31"/>
        <v>0</v>
      </c>
      <c r="Z72" s="1249">
        <f t="shared" si="31"/>
        <v>0</v>
      </c>
      <c r="AA72" s="1249">
        <f t="shared" si="31"/>
        <v>0</v>
      </c>
      <c r="AB72" s="1249">
        <f t="shared" si="31"/>
        <v>0.32374083382262742</v>
      </c>
      <c r="AC72" s="1282">
        <f t="shared" si="26"/>
        <v>0.99999999999999989</v>
      </c>
    </row>
    <row r="73" spans="1:29">
      <c r="A73" s="187">
        <f t="shared" si="20"/>
        <v>1973</v>
      </c>
      <c r="B73" s="1655">
        <v>21.526959999999999</v>
      </c>
      <c r="C73" s="528">
        <v>1115.481962992131</v>
      </c>
      <c r="D73" s="1577">
        <v>0</v>
      </c>
      <c r="E73" s="1578">
        <v>0</v>
      </c>
      <c r="F73" s="186">
        <f t="shared" si="27"/>
        <v>0.71479999999999999</v>
      </c>
      <c r="G73" s="186">
        <f t="shared" si="28"/>
        <v>0.28959999999999997</v>
      </c>
      <c r="H73" s="478">
        <v>0</v>
      </c>
      <c r="I73" s="1292">
        <f t="shared" si="21"/>
        <v>578.73</v>
      </c>
      <c r="J73" s="1293">
        <f t="shared" si="22"/>
        <v>28.06789123869763</v>
      </c>
      <c r="K73" s="1294">
        <f t="shared" si="15"/>
        <v>12458.2975608</v>
      </c>
      <c r="L73" s="1294">
        <f t="shared" si="23"/>
        <v>31309.226415992067</v>
      </c>
      <c r="M73" s="1295">
        <f t="shared" si="16"/>
        <v>31309.226415992067</v>
      </c>
      <c r="N73" s="1249">
        <f t="shared" si="30"/>
        <v>0.19892488097366726</v>
      </c>
      <c r="O73" s="1249">
        <f t="shared" si="30"/>
        <v>0.26585903447659598</v>
      </c>
      <c r="P73" s="1249">
        <f t="shared" si="30"/>
        <v>8.9228108703258049E-2</v>
      </c>
      <c r="Q73" s="1249">
        <f t="shared" si="30"/>
        <v>0</v>
      </c>
      <c r="R73" s="1249">
        <f t="shared" si="30"/>
        <v>0</v>
      </c>
      <c r="S73" s="1249">
        <f t="shared" si="30"/>
        <v>0</v>
      </c>
      <c r="T73" s="1249">
        <f t="shared" si="30"/>
        <v>0.4459879758464787</v>
      </c>
      <c r="U73" s="1282">
        <f t="shared" si="18"/>
        <v>1</v>
      </c>
      <c r="V73" s="1283">
        <f t="shared" si="31"/>
        <v>0.29028184578274857</v>
      </c>
      <c r="W73" s="1249">
        <f t="shared" si="31"/>
        <v>0.30317187715157518</v>
      </c>
      <c r="X73" s="1249">
        <f t="shared" si="31"/>
        <v>8.2805443243048754E-2</v>
      </c>
      <c r="Y73" s="1249">
        <f t="shared" si="31"/>
        <v>0</v>
      </c>
      <c r="Z73" s="1249">
        <f t="shared" si="31"/>
        <v>0</v>
      </c>
      <c r="AA73" s="1249">
        <f t="shared" si="31"/>
        <v>0</v>
      </c>
      <c r="AB73" s="1249">
        <f t="shared" si="31"/>
        <v>0.32374083382262742</v>
      </c>
      <c r="AC73" s="1282">
        <f t="shared" si="26"/>
        <v>0.99999999999999989</v>
      </c>
    </row>
    <row r="74" spans="1:29">
      <c r="A74" s="187">
        <f t="shared" si="20"/>
        <v>1974</v>
      </c>
      <c r="B74" s="1655">
        <v>22.012900000000002</v>
      </c>
      <c r="C74" s="528">
        <v>1183.6496732532121</v>
      </c>
      <c r="D74" s="1577">
        <v>0</v>
      </c>
      <c r="E74" s="1578">
        <v>0</v>
      </c>
      <c r="F74" s="186">
        <f t="shared" si="27"/>
        <v>0.71479999999999999</v>
      </c>
      <c r="G74" s="186">
        <f t="shared" si="28"/>
        <v>0.28959999999999997</v>
      </c>
      <c r="H74" s="478">
        <v>0</v>
      </c>
      <c r="I74" s="1292">
        <f t="shared" si="21"/>
        <v>578.73</v>
      </c>
      <c r="J74" s="1293">
        <f t="shared" si="22"/>
        <v>28.06789123869763</v>
      </c>
      <c r="K74" s="1294">
        <f t="shared" si="15"/>
        <v>12739.525617000001</v>
      </c>
      <c r="L74" s="1294">
        <f t="shared" si="23"/>
        <v>33222.550293591143</v>
      </c>
      <c r="M74" s="1295">
        <f t="shared" si="16"/>
        <v>33222.550293591143</v>
      </c>
      <c r="N74" s="1249">
        <f t="shared" si="30"/>
        <v>0.19892488097366726</v>
      </c>
      <c r="O74" s="1249">
        <f t="shared" si="30"/>
        <v>0.26585903447659598</v>
      </c>
      <c r="P74" s="1249">
        <f t="shared" si="30"/>
        <v>8.9228108703258049E-2</v>
      </c>
      <c r="Q74" s="1249">
        <f t="shared" si="30"/>
        <v>0</v>
      </c>
      <c r="R74" s="1249">
        <f t="shared" si="30"/>
        <v>0</v>
      </c>
      <c r="S74" s="1249">
        <f t="shared" si="30"/>
        <v>0</v>
      </c>
      <c r="T74" s="1249">
        <f t="shared" si="30"/>
        <v>0.4459879758464787</v>
      </c>
      <c r="U74" s="1282">
        <f t="shared" si="18"/>
        <v>1</v>
      </c>
      <c r="V74" s="1283">
        <f t="shared" si="31"/>
        <v>0.29028184578274857</v>
      </c>
      <c r="W74" s="1249">
        <f t="shared" si="31"/>
        <v>0.30317187715157518</v>
      </c>
      <c r="X74" s="1249">
        <f t="shared" si="31"/>
        <v>8.2805443243048754E-2</v>
      </c>
      <c r="Y74" s="1249">
        <f t="shared" si="31"/>
        <v>0</v>
      </c>
      <c r="Z74" s="1249">
        <f t="shared" si="31"/>
        <v>0</v>
      </c>
      <c r="AA74" s="1249">
        <f t="shared" si="31"/>
        <v>0</v>
      </c>
      <c r="AB74" s="1249">
        <f t="shared" si="31"/>
        <v>0.32374083382262742</v>
      </c>
      <c r="AC74" s="1282">
        <f t="shared" si="26"/>
        <v>0.99999999999999989</v>
      </c>
    </row>
    <row r="75" spans="1:29">
      <c r="A75" s="187">
        <f t="shared" si="20"/>
        <v>1975</v>
      </c>
      <c r="B75" s="1655">
        <v>22.502480000000002</v>
      </c>
      <c r="C75" s="528">
        <v>1203.7178400604503</v>
      </c>
      <c r="D75" s="1577">
        <v>0</v>
      </c>
      <c r="E75" s="1578">
        <v>0</v>
      </c>
      <c r="F75" s="186">
        <f t="shared" si="27"/>
        <v>0.71479999999999999</v>
      </c>
      <c r="G75" s="186">
        <f t="shared" si="28"/>
        <v>0.28959999999999997</v>
      </c>
      <c r="H75" s="478">
        <v>0</v>
      </c>
      <c r="I75" s="1292">
        <f t="shared" si="21"/>
        <v>578.73</v>
      </c>
      <c r="J75" s="1293">
        <f t="shared" si="22"/>
        <v>28.06789123869763</v>
      </c>
      <c r="K75" s="1294">
        <f t="shared" si="15"/>
        <v>13022.860250400001</v>
      </c>
      <c r="L75" s="1294">
        <f t="shared" si="23"/>
        <v>33785.821416896746</v>
      </c>
      <c r="M75" s="1295">
        <f t="shared" si="16"/>
        <v>33785.821416896746</v>
      </c>
      <c r="N75" s="1249">
        <f t="shared" si="30"/>
        <v>0.19892488097366726</v>
      </c>
      <c r="O75" s="1249">
        <f t="shared" si="30"/>
        <v>0.26585903447659598</v>
      </c>
      <c r="P75" s="1249">
        <f t="shared" si="30"/>
        <v>8.9228108703258049E-2</v>
      </c>
      <c r="Q75" s="1249">
        <f t="shared" si="30"/>
        <v>0</v>
      </c>
      <c r="R75" s="1249">
        <f t="shared" si="30"/>
        <v>0</v>
      </c>
      <c r="S75" s="1249">
        <f t="shared" si="30"/>
        <v>0</v>
      </c>
      <c r="T75" s="1249">
        <f t="shared" si="30"/>
        <v>0.4459879758464787</v>
      </c>
      <c r="U75" s="1282">
        <f t="shared" si="18"/>
        <v>1</v>
      </c>
      <c r="V75" s="1283">
        <f t="shared" si="31"/>
        <v>0.29028184578274857</v>
      </c>
      <c r="W75" s="1249">
        <f t="shared" si="31"/>
        <v>0.30317187715157518</v>
      </c>
      <c r="X75" s="1249">
        <f t="shared" si="31"/>
        <v>8.2805443243048754E-2</v>
      </c>
      <c r="Y75" s="1249">
        <f t="shared" si="31"/>
        <v>0</v>
      </c>
      <c r="Z75" s="1249">
        <f t="shared" si="31"/>
        <v>0</v>
      </c>
      <c r="AA75" s="1249">
        <f t="shared" si="31"/>
        <v>0</v>
      </c>
      <c r="AB75" s="1249">
        <f t="shared" si="31"/>
        <v>0.32374083382262742</v>
      </c>
      <c r="AC75" s="1282">
        <f t="shared" si="26"/>
        <v>0.99999999999999989</v>
      </c>
    </row>
    <row r="76" spans="1:29">
      <c r="A76" s="187">
        <f t="shared" si="20"/>
        <v>1976</v>
      </c>
      <c r="B76" s="1655">
        <v>22.993880000000001</v>
      </c>
      <c r="C76" s="528">
        <v>1230.8003365426916</v>
      </c>
      <c r="D76" s="1577">
        <v>0</v>
      </c>
      <c r="E76" s="1578">
        <v>0</v>
      </c>
      <c r="F76" s="186">
        <f t="shared" si="27"/>
        <v>0.71479999999999999</v>
      </c>
      <c r="G76" s="186">
        <f t="shared" si="28"/>
        <v>0.28959999999999997</v>
      </c>
      <c r="H76" s="478">
        <v>0</v>
      </c>
      <c r="I76" s="1292">
        <f t="shared" si="21"/>
        <v>578.73</v>
      </c>
      <c r="J76" s="1293">
        <f t="shared" si="22"/>
        <v>28.06789123869763</v>
      </c>
      <c r="K76" s="1294">
        <f t="shared" si="15"/>
        <v>13307.248172400001</v>
      </c>
      <c r="L76" s="1294">
        <f t="shared" si="23"/>
        <v>34545.969982632712</v>
      </c>
      <c r="M76" s="1295">
        <f t="shared" si="16"/>
        <v>34545.969982632712</v>
      </c>
      <c r="N76" s="1249">
        <f t="shared" si="30"/>
        <v>0.19892488097366726</v>
      </c>
      <c r="O76" s="1249">
        <f t="shared" si="30"/>
        <v>0.26585903447659598</v>
      </c>
      <c r="P76" s="1249">
        <f t="shared" si="30"/>
        <v>8.9228108703258049E-2</v>
      </c>
      <c r="Q76" s="1249">
        <f t="shared" si="30"/>
        <v>0</v>
      </c>
      <c r="R76" s="1249">
        <f t="shared" si="30"/>
        <v>0</v>
      </c>
      <c r="S76" s="1249">
        <f t="shared" si="30"/>
        <v>0</v>
      </c>
      <c r="T76" s="1249">
        <f t="shared" si="30"/>
        <v>0.4459879758464787</v>
      </c>
      <c r="U76" s="1282">
        <f t="shared" si="18"/>
        <v>1</v>
      </c>
      <c r="V76" s="1283">
        <f t="shared" si="31"/>
        <v>0.29028184578274857</v>
      </c>
      <c r="W76" s="1249">
        <f t="shared" si="31"/>
        <v>0.30317187715157518</v>
      </c>
      <c r="X76" s="1249">
        <f t="shared" si="31"/>
        <v>8.2805443243048754E-2</v>
      </c>
      <c r="Y76" s="1249">
        <f t="shared" si="31"/>
        <v>0</v>
      </c>
      <c r="Z76" s="1249">
        <f t="shared" si="31"/>
        <v>0</v>
      </c>
      <c r="AA76" s="1249">
        <f t="shared" si="31"/>
        <v>0</v>
      </c>
      <c r="AB76" s="1249">
        <f t="shared" si="31"/>
        <v>0.32374083382262742</v>
      </c>
      <c r="AC76" s="1282">
        <f t="shared" si="26"/>
        <v>0.99999999999999989</v>
      </c>
    </row>
    <row r="77" spans="1:29">
      <c r="A77" s="187">
        <f t="shared" si="20"/>
        <v>1977</v>
      </c>
      <c r="B77" s="1655">
        <v>23.483460000000001</v>
      </c>
      <c r="C77" s="528">
        <v>1229.6429222577431</v>
      </c>
      <c r="D77" s="1577">
        <v>0</v>
      </c>
      <c r="E77" s="1578">
        <v>0</v>
      </c>
      <c r="F77" s="186">
        <f t="shared" si="27"/>
        <v>0.71479999999999999</v>
      </c>
      <c r="G77" s="186">
        <f t="shared" si="28"/>
        <v>0.28959999999999997</v>
      </c>
      <c r="H77" s="478">
        <v>0</v>
      </c>
      <c r="I77" s="1292">
        <f t="shared" si="21"/>
        <v>578.73</v>
      </c>
      <c r="J77" s="1293">
        <f t="shared" si="22"/>
        <v>28.06789123869763</v>
      </c>
      <c r="K77" s="1294">
        <f t="shared" si="15"/>
        <v>13590.582805800001</v>
      </c>
      <c r="L77" s="1294">
        <f t="shared" si="23"/>
        <v>34513.48380436466</v>
      </c>
      <c r="M77" s="1295">
        <f t="shared" si="16"/>
        <v>34513.48380436466</v>
      </c>
      <c r="N77" s="1249">
        <f t="shared" si="30"/>
        <v>0.19892488097366726</v>
      </c>
      <c r="O77" s="1249">
        <f t="shared" si="30"/>
        <v>0.26585903447659598</v>
      </c>
      <c r="P77" s="1249">
        <f t="shared" si="30"/>
        <v>8.9228108703258049E-2</v>
      </c>
      <c r="Q77" s="1249">
        <f t="shared" si="30"/>
        <v>0</v>
      </c>
      <c r="R77" s="1249">
        <f t="shared" si="30"/>
        <v>0</v>
      </c>
      <c r="S77" s="1249">
        <f t="shared" si="30"/>
        <v>0</v>
      </c>
      <c r="T77" s="1249">
        <f t="shared" si="30"/>
        <v>0.4459879758464787</v>
      </c>
      <c r="U77" s="1282">
        <f t="shared" si="18"/>
        <v>1</v>
      </c>
      <c r="V77" s="1283">
        <f t="shared" si="31"/>
        <v>0.29028184578274857</v>
      </c>
      <c r="W77" s="1249">
        <f t="shared" si="31"/>
        <v>0.30317187715157518</v>
      </c>
      <c r="X77" s="1249">
        <f t="shared" si="31"/>
        <v>8.2805443243048754E-2</v>
      </c>
      <c r="Y77" s="1249">
        <f t="shared" si="31"/>
        <v>0</v>
      </c>
      <c r="Z77" s="1249">
        <f t="shared" si="31"/>
        <v>0</v>
      </c>
      <c r="AA77" s="1249">
        <f t="shared" si="31"/>
        <v>0</v>
      </c>
      <c r="AB77" s="1249">
        <f t="shared" si="31"/>
        <v>0.32374083382262742</v>
      </c>
      <c r="AC77" s="1282">
        <f t="shared" si="26"/>
        <v>0.99999999999999989</v>
      </c>
    </row>
    <row r="78" spans="1:29">
      <c r="A78" s="187">
        <f t="shared" si="20"/>
        <v>1978</v>
      </c>
      <c r="B78" s="1655">
        <v>23.983049999999999</v>
      </c>
      <c r="C78" s="528">
        <v>1266.711110256156</v>
      </c>
      <c r="D78" s="1577">
        <v>0</v>
      </c>
      <c r="E78" s="1578">
        <v>0</v>
      </c>
      <c r="F78" s="186">
        <f t="shared" si="27"/>
        <v>0.71479999999999999</v>
      </c>
      <c r="G78" s="186">
        <f t="shared" si="28"/>
        <v>0.28959999999999997</v>
      </c>
      <c r="H78" s="478">
        <v>0</v>
      </c>
      <c r="I78" s="1292">
        <f t="shared" si="21"/>
        <v>578.73</v>
      </c>
      <c r="J78" s="1293">
        <f t="shared" si="22"/>
        <v>28.06789123869763</v>
      </c>
      <c r="K78" s="1294">
        <f t="shared" si="15"/>
        <v>13879.710526499999</v>
      </c>
      <c r="L78" s="1294">
        <f t="shared" si="23"/>
        <v>35553.909673519709</v>
      </c>
      <c r="M78" s="1295">
        <f t="shared" si="16"/>
        <v>35553.909673519709</v>
      </c>
      <c r="N78" s="1249">
        <f t="shared" si="30"/>
        <v>0.19892488097366726</v>
      </c>
      <c r="O78" s="1249">
        <f t="shared" si="30"/>
        <v>0.26585903447659598</v>
      </c>
      <c r="P78" s="1249">
        <f t="shared" si="30"/>
        <v>8.9228108703258049E-2</v>
      </c>
      <c r="Q78" s="1249">
        <f t="shared" si="30"/>
        <v>0</v>
      </c>
      <c r="R78" s="1249">
        <f t="shared" si="30"/>
        <v>0</v>
      </c>
      <c r="S78" s="1249">
        <f t="shared" si="30"/>
        <v>0</v>
      </c>
      <c r="T78" s="1249">
        <f t="shared" si="30"/>
        <v>0.4459879758464787</v>
      </c>
      <c r="U78" s="1282">
        <f t="shared" si="18"/>
        <v>1</v>
      </c>
      <c r="V78" s="1283">
        <f t="shared" si="31"/>
        <v>0.29028184578274857</v>
      </c>
      <c r="W78" s="1249">
        <f t="shared" si="31"/>
        <v>0.30317187715157518</v>
      </c>
      <c r="X78" s="1249">
        <f t="shared" si="31"/>
        <v>8.2805443243048754E-2</v>
      </c>
      <c r="Y78" s="1249">
        <f t="shared" si="31"/>
        <v>0</v>
      </c>
      <c r="Z78" s="1249">
        <f t="shared" si="31"/>
        <v>0</v>
      </c>
      <c r="AA78" s="1249">
        <f t="shared" si="31"/>
        <v>0</v>
      </c>
      <c r="AB78" s="1249">
        <f t="shared" si="31"/>
        <v>0.32374083382262742</v>
      </c>
      <c r="AC78" s="1282">
        <f t="shared" si="26"/>
        <v>0.99999999999999989</v>
      </c>
    </row>
    <row r="79" spans="1:29">
      <c r="A79" s="187">
        <f t="shared" si="20"/>
        <v>1979</v>
      </c>
      <c r="B79" s="1655">
        <v>24.516309999999997</v>
      </c>
      <c r="C79" s="528">
        <v>1314.725843177443</v>
      </c>
      <c r="D79" s="1577">
        <v>0</v>
      </c>
      <c r="E79" s="1578">
        <v>0</v>
      </c>
      <c r="F79" s="186">
        <f t="shared" si="27"/>
        <v>0.71479999999999999</v>
      </c>
      <c r="G79" s="186">
        <f t="shared" si="28"/>
        <v>0.28959999999999997</v>
      </c>
      <c r="H79" s="478">
        <v>0</v>
      </c>
      <c r="I79" s="1292">
        <f t="shared" si="21"/>
        <v>578.73</v>
      </c>
      <c r="J79" s="1293">
        <f t="shared" si="22"/>
        <v>28.06789123869763</v>
      </c>
      <c r="K79" s="1294">
        <f t="shared" si="15"/>
        <v>14188.324086299999</v>
      </c>
      <c r="L79" s="1294">
        <f t="shared" si="23"/>
        <v>36901.581975009511</v>
      </c>
      <c r="M79" s="1295">
        <f t="shared" si="16"/>
        <v>36901.581975009511</v>
      </c>
      <c r="N79" s="1249">
        <f t="shared" si="30"/>
        <v>0.19892488097366726</v>
      </c>
      <c r="O79" s="1249">
        <f t="shared" si="30"/>
        <v>0.26585903447659598</v>
      </c>
      <c r="P79" s="1249">
        <f t="shared" si="30"/>
        <v>8.9228108703258049E-2</v>
      </c>
      <c r="Q79" s="1249">
        <f t="shared" si="30"/>
        <v>0</v>
      </c>
      <c r="R79" s="1249">
        <f t="shared" si="30"/>
        <v>0</v>
      </c>
      <c r="S79" s="1249">
        <f t="shared" si="30"/>
        <v>0</v>
      </c>
      <c r="T79" s="1249">
        <f t="shared" si="30"/>
        <v>0.4459879758464787</v>
      </c>
      <c r="U79" s="1282">
        <f t="shared" si="18"/>
        <v>1</v>
      </c>
      <c r="V79" s="1283">
        <f t="shared" si="31"/>
        <v>0.29028184578274857</v>
      </c>
      <c r="W79" s="1249">
        <f t="shared" si="31"/>
        <v>0.30317187715157518</v>
      </c>
      <c r="X79" s="1249">
        <f t="shared" si="31"/>
        <v>8.2805443243048754E-2</v>
      </c>
      <c r="Y79" s="1249">
        <f t="shared" si="31"/>
        <v>0</v>
      </c>
      <c r="Z79" s="1249">
        <f t="shared" si="31"/>
        <v>0</v>
      </c>
      <c r="AA79" s="1249">
        <f t="shared" si="31"/>
        <v>0</v>
      </c>
      <c r="AB79" s="1249">
        <f t="shared" si="31"/>
        <v>0.32374083382262742</v>
      </c>
      <c r="AC79" s="1282">
        <f t="shared" si="26"/>
        <v>0.99999999999999989</v>
      </c>
    </row>
    <row r="80" spans="1:29">
      <c r="A80" s="187">
        <f t="shared" si="20"/>
        <v>1980</v>
      </c>
      <c r="B80" s="1655">
        <v>25.094160000000002</v>
      </c>
      <c r="C80" s="528">
        <v>1401.7683862069005</v>
      </c>
      <c r="D80" s="1577">
        <v>0</v>
      </c>
      <c r="E80" s="1578">
        <v>0</v>
      </c>
      <c r="F80" s="186">
        <f t="shared" si="27"/>
        <v>0.71479999999999999</v>
      </c>
      <c r="G80" s="186">
        <f t="shared" si="28"/>
        <v>0.28959999999999997</v>
      </c>
      <c r="H80" s="478">
        <v>0</v>
      </c>
      <c r="I80" s="1292">
        <f t="shared" si="21"/>
        <v>578.73</v>
      </c>
      <c r="J80" s="1293">
        <f t="shared" si="22"/>
        <v>28.06789123869763</v>
      </c>
      <c r="K80" s="1294">
        <f t="shared" si="15"/>
        <v>14522.743216800001</v>
      </c>
      <c r="L80" s="1294">
        <f t="shared" si="23"/>
        <v>39344.68260589998</v>
      </c>
      <c r="M80" s="1295">
        <f t="shared" si="16"/>
        <v>39344.68260589998</v>
      </c>
      <c r="N80" s="1249">
        <f t="shared" si="30"/>
        <v>0.19892488097366726</v>
      </c>
      <c r="O80" s="1249">
        <f t="shared" si="30"/>
        <v>0.26585903447659598</v>
      </c>
      <c r="P80" s="1249">
        <f t="shared" si="30"/>
        <v>8.9228108703258049E-2</v>
      </c>
      <c r="Q80" s="1249">
        <f t="shared" si="30"/>
        <v>0</v>
      </c>
      <c r="R80" s="1249">
        <f t="shared" si="30"/>
        <v>0</v>
      </c>
      <c r="S80" s="1249">
        <f t="shared" si="30"/>
        <v>0</v>
      </c>
      <c r="T80" s="1249">
        <f t="shared" si="30"/>
        <v>0.4459879758464787</v>
      </c>
      <c r="U80" s="1282">
        <f t="shared" si="18"/>
        <v>1</v>
      </c>
      <c r="V80" s="1283">
        <f t="shared" si="31"/>
        <v>0.29028184578274857</v>
      </c>
      <c r="W80" s="1249">
        <f t="shared" si="31"/>
        <v>0.30317187715157518</v>
      </c>
      <c r="X80" s="1249">
        <f t="shared" si="31"/>
        <v>8.2805443243048754E-2</v>
      </c>
      <c r="Y80" s="1249">
        <f t="shared" si="31"/>
        <v>0</v>
      </c>
      <c r="Z80" s="1249">
        <f t="shared" si="31"/>
        <v>0</v>
      </c>
      <c r="AA80" s="1249">
        <f t="shared" si="31"/>
        <v>0</v>
      </c>
      <c r="AB80" s="1249">
        <f t="shared" si="31"/>
        <v>0.32374083382262742</v>
      </c>
      <c r="AC80" s="1282">
        <f t="shared" si="26"/>
        <v>0.99999999999999989</v>
      </c>
    </row>
    <row r="81" spans="1:29">
      <c r="A81" s="187">
        <f t="shared" si="20"/>
        <v>1981</v>
      </c>
      <c r="B81" s="1655">
        <v>25.712049999999998</v>
      </c>
      <c r="C81" s="528">
        <v>1476.9135086140063</v>
      </c>
      <c r="D81" s="1577">
        <v>0</v>
      </c>
      <c r="E81" s="1578">
        <v>0</v>
      </c>
      <c r="F81" s="186">
        <f t="shared" si="27"/>
        <v>0.71479999999999999</v>
      </c>
      <c r="G81" s="186">
        <f t="shared" si="28"/>
        <v>0.28959999999999997</v>
      </c>
      <c r="H81" s="478">
        <v>0</v>
      </c>
      <c r="I81" s="1292">
        <f t="shared" si="21"/>
        <v>578.73</v>
      </c>
      <c r="J81" s="1293">
        <f t="shared" si="22"/>
        <v>28.06789123869763</v>
      </c>
      <c r="K81" s="1294">
        <f t="shared" si="15"/>
        <v>14880.3346965</v>
      </c>
      <c r="L81" s="1294">
        <f t="shared" si="23"/>
        <v>41453.847728741246</v>
      </c>
      <c r="M81" s="1295">
        <f t="shared" si="16"/>
        <v>41453.847728741246</v>
      </c>
      <c r="N81" s="1249">
        <f t="shared" si="30"/>
        <v>0.19892488097366726</v>
      </c>
      <c r="O81" s="1249">
        <f t="shared" si="30"/>
        <v>0.26585903447659598</v>
      </c>
      <c r="P81" s="1249">
        <f t="shared" si="30"/>
        <v>8.9228108703258049E-2</v>
      </c>
      <c r="Q81" s="1249">
        <f t="shared" si="30"/>
        <v>0</v>
      </c>
      <c r="R81" s="1249">
        <f t="shared" si="30"/>
        <v>0</v>
      </c>
      <c r="S81" s="1249">
        <f t="shared" si="30"/>
        <v>0</v>
      </c>
      <c r="T81" s="1249">
        <f t="shared" si="30"/>
        <v>0.4459879758464787</v>
      </c>
      <c r="U81" s="1282">
        <f t="shared" si="18"/>
        <v>1</v>
      </c>
      <c r="V81" s="1283">
        <f t="shared" si="31"/>
        <v>0.29028184578274857</v>
      </c>
      <c r="W81" s="1249">
        <f t="shared" si="31"/>
        <v>0.30317187715157518</v>
      </c>
      <c r="X81" s="1249">
        <f t="shared" si="31"/>
        <v>8.2805443243048754E-2</v>
      </c>
      <c r="Y81" s="1249">
        <f t="shared" si="31"/>
        <v>0</v>
      </c>
      <c r="Z81" s="1249">
        <f t="shared" si="31"/>
        <v>0</v>
      </c>
      <c r="AA81" s="1249">
        <f t="shared" si="31"/>
        <v>0</v>
      </c>
      <c r="AB81" s="1249">
        <f t="shared" si="31"/>
        <v>0.32374083382262742</v>
      </c>
      <c r="AC81" s="1282">
        <f t="shared" si="26"/>
        <v>0.99999999999999989</v>
      </c>
    </row>
    <row r="82" spans="1:29">
      <c r="A82" s="187">
        <f t="shared" si="20"/>
        <v>1982</v>
      </c>
      <c r="B82" s="1655">
        <v>26.364520000000002</v>
      </c>
      <c r="C82" s="528">
        <v>1471.2511585558661</v>
      </c>
      <c r="D82" s="1577">
        <v>0</v>
      </c>
      <c r="E82" s="1578">
        <v>0</v>
      </c>
      <c r="F82" s="186">
        <f t="shared" si="27"/>
        <v>0.71479999999999999</v>
      </c>
      <c r="G82" s="186">
        <f t="shared" si="28"/>
        <v>0.28959999999999997</v>
      </c>
      <c r="H82" s="478">
        <v>0</v>
      </c>
      <c r="I82" s="1292">
        <f t="shared" si="21"/>
        <v>578.73</v>
      </c>
      <c r="J82" s="1293">
        <f t="shared" si="22"/>
        <v>28.06789123869763</v>
      </c>
      <c r="K82" s="1294">
        <f t="shared" si="15"/>
        <v>15257.938659600002</v>
      </c>
      <c r="L82" s="1294">
        <f t="shared" si="23"/>
        <v>41294.917503153934</v>
      </c>
      <c r="M82" s="1295">
        <f t="shared" si="16"/>
        <v>41294.917503153934</v>
      </c>
      <c r="N82" s="1249">
        <f t="shared" si="30"/>
        <v>0.19892488097366726</v>
      </c>
      <c r="O82" s="1249">
        <f t="shared" si="30"/>
        <v>0.26585903447659598</v>
      </c>
      <c r="P82" s="1249">
        <f t="shared" si="30"/>
        <v>8.9228108703258049E-2</v>
      </c>
      <c r="Q82" s="1249">
        <f t="shared" si="30"/>
        <v>0</v>
      </c>
      <c r="R82" s="1249">
        <f t="shared" si="30"/>
        <v>0</v>
      </c>
      <c r="S82" s="1249">
        <f t="shared" si="30"/>
        <v>0</v>
      </c>
      <c r="T82" s="1249">
        <f t="shared" si="30"/>
        <v>0.4459879758464787</v>
      </c>
      <c r="U82" s="1282">
        <f t="shared" ref="U82:U113" si="32">SUM(N82:T82)</f>
        <v>1</v>
      </c>
      <c r="V82" s="1283">
        <f t="shared" si="31"/>
        <v>0.29028184578274857</v>
      </c>
      <c r="W82" s="1249">
        <f t="shared" si="31"/>
        <v>0.30317187715157518</v>
      </c>
      <c r="X82" s="1249">
        <f t="shared" si="31"/>
        <v>8.2805443243048754E-2</v>
      </c>
      <c r="Y82" s="1249">
        <f t="shared" si="31"/>
        <v>0</v>
      </c>
      <c r="Z82" s="1249">
        <f t="shared" si="31"/>
        <v>0</v>
      </c>
      <c r="AA82" s="1249">
        <f t="shared" si="31"/>
        <v>0</v>
      </c>
      <c r="AB82" s="1249">
        <f t="shared" si="31"/>
        <v>0.32374083382262742</v>
      </c>
      <c r="AC82" s="1282">
        <f t="shared" si="26"/>
        <v>0.99999999999999989</v>
      </c>
    </row>
    <row r="83" spans="1:29">
      <c r="A83" s="187">
        <f t="shared" ref="A83:A114" si="33">A82+1</f>
        <v>1983</v>
      </c>
      <c r="B83" s="1655">
        <v>27.048839999999998</v>
      </c>
      <c r="C83" s="528">
        <v>1444.0838515447542</v>
      </c>
      <c r="D83" s="1577">
        <v>0</v>
      </c>
      <c r="E83" s="1578">
        <v>0</v>
      </c>
      <c r="F83" s="186">
        <f t="shared" si="27"/>
        <v>0.71479999999999999</v>
      </c>
      <c r="G83" s="186">
        <f t="shared" si="28"/>
        <v>0.28959999999999997</v>
      </c>
      <c r="H83" s="478">
        <v>0</v>
      </c>
      <c r="I83" s="1292">
        <f t="shared" si="21"/>
        <v>578.73</v>
      </c>
      <c r="J83" s="1293">
        <f t="shared" si="22"/>
        <v>28.06789123869763</v>
      </c>
      <c r="K83" s="1294">
        <f t="shared" si="15"/>
        <v>15653.9751732</v>
      </c>
      <c r="L83" s="1294">
        <f t="shared" si="23"/>
        <v>40532.38848471774</v>
      </c>
      <c r="M83" s="1295">
        <f t="shared" si="16"/>
        <v>40532.38848471774</v>
      </c>
      <c r="N83" s="1249">
        <f t="shared" ref="N83:T98" si="34">N82</f>
        <v>0.19892488097366726</v>
      </c>
      <c r="O83" s="1249">
        <f t="shared" si="34"/>
        <v>0.26585903447659598</v>
      </c>
      <c r="P83" s="1249">
        <f t="shared" si="34"/>
        <v>8.9228108703258049E-2</v>
      </c>
      <c r="Q83" s="1249">
        <f t="shared" si="34"/>
        <v>0</v>
      </c>
      <c r="R83" s="1249">
        <f t="shared" si="34"/>
        <v>0</v>
      </c>
      <c r="S83" s="1249">
        <f t="shared" si="34"/>
        <v>0</v>
      </c>
      <c r="T83" s="1249">
        <f t="shared" si="34"/>
        <v>0.4459879758464787</v>
      </c>
      <c r="U83" s="1282">
        <f t="shared" si="32"/>
        <v>1</v>
      </c>
      <c r="V83" s="1283">
        <f t="shared" si="31"/>
        <v>0.29028184578274857</v>
      </c>
      <c r="W83" s="1249">
        <f t="shared" si="31"/>
        <v>0.30317187715157518</v>
      </c>
      <c r="X83" s="1249">
        <f t="shared" si="31"/>
        <v>8.2805443243048754E-2</v>
      </c>
      <c r="Y83" s="1249">
        <f t="shared" si="31"/>
        <v>0</v>
      </c>
      <c r="Z83" s="1249">
        <f t="shared" si="31"/>
        <v>0</v>
      </c>
      <c r="AA83" s="1249">
        <f t="shared" si="31"/>
        <v>0</v>
      </c>
      <c r="AB83" s="1249">
        <f t="shared" si="31"/>
        <v>0.32374083382262742</v>
      </c>
      <c r="AC83" s="1282">
        <f t="shared" si="26"/>
        <v>0.99999999999999989</v>
      </c>
    </row>
    <row r="84" spans="1:29">
      <c r="A84" s="187">
        <f t="shared" si="33"/>
        <v>1984</v>
      </c>
      <c r="B84" s="1655">
        <v>27.759549999999997</v>
      </c>
      <c r="C84" s="528">
        <v>1517.7193465317748</v>
      </c>
      <c r="D84" s="1577">
        <v>0</v>
      </c>
      <c r="E84" s="1578">
        <v>0</v>
      </c>
      <c r="F84" s="186">
        <f t="shared" si="27"/>
        <v>0.71479999999999999</v>
      </c>
      <c r="G84" s="186">
        <f t="shared" si="28"/>
        <v>0.28959999999999997</v>
      </c>
      <c r="H84" s="478">
        <v>0</v>
      </c>
      <c r="I84" s="1292">
        <f t="shared" si="21"/>
        <v>578.73</v>
      </c>
      <c r="J84" s="1293">
        <f t="shared" si="22"/>
        <v>28.06789123869763</v>
      </c>
      <c r="K84" s="1294">
        <f t="shared" si="15"/>
        <v>16065.284371499998</v>
      </c>
      <c r="L84" s="1294">
        <f t="shared" si="23"/>
        <v>42599.181549321096</v>
      </c>
      <c r="M84" s="1295">
        <f t="shared" si="16"/>
        <v>42599.181549321096</v>
      </c>
      <c r="N84" s="1249">
        <f t="shared" si="34"/>
        <v>0.19892488097366726</v>
      </c>
      <c r="O84" s="1249">
        <f t="shared" si="34"/>
        <v>0.26585903447659598</v>
      </c>
      <c r="P84" s="1249">
        <f t="shared" si="34"/>
        <v>8.9228108703258049E-2</v>
      </c>
      <c r="Q84" s="1249">
        <f t="shared" si="34"/>
        <v>0</v>
      </c>
      <c r="R84" s="1249">
        <f t="shared" si="34"/>
        <v>0</v>
      </c>
      <c r="S84" s="1249">
        <f t="shared" si="34"/>
        <v>0</v>
      </c>
      <c r="T84" s="1249">
        <f t="shared" si="34"/>
        <v>0.4459879758464787</v>
      </c>
      <c r="U84" s="1282">
        <f t="shared" si="32"/>
        <v>1</v>
      </c>
      <c r="V84" s="1283">
        <f t="shared" ref="V84:AB99" si="35">V83</f>
        <v>0.29028184578274857</v>
      </c>
      <c r="W84" s="1249">
        <f t="shared" si="35"/>
        <v>0.30317187715157518</v>
      </c>
      <c r="X84" s="1249">
        <f t="shared" si="35"/>
        <v>8.2805443243048754E-2</v>
      </c>
      <c r="Y84" s="1249">
        <f t="shared" si="35"/>
        <v>0</v>
      </c>
      <c r="Z84" s="1249">
        <f t="shared" si="35"/>
        <v>0</v>
      </c>
      <c r="AA84" s="1249">
        <f t="shared" si="35"/>
        <v>0</v>
      </c>
      <c r="AB84" s="1249">
        <f t="shared" si="35"/>
        <v>0.32374083382262742</v>
      </c>
      <c r="AC84" s="1282">
        <f t="shared" si="26"/>
        <v>0.99999999999999989</v>
      </c>
    </row>
    <row r="85" spans="1:29">
      <c r="A85" s="187">
        <f t="shared" si="33"/>
        <v>1985</v>
      </c>
      <c r="B85" s="1655">
        <v>28.490279999999998</v>
      </c>
      <c r="C85" s="528">
        <v>1499.3324237484292</v>
      </c>
      <c r="D85" s="1577">
        <v>0</v>
      </c>
      <c r="E85" s="1578">
        <v>0</v>
      </c>
      <c r="F85" s="186">
        <f t="shared" si="27"/>
        <v>0.71479999999999999</v>
      </c>
      <c r="G85" s="186">
        <f t="shared" si="28"/>
        <v>0.28959999999999997</v>
      </c>
      <c r="H85" s="478">
        <v>0</v>
      </c>
      <c r="I85" s="1292">
        <f t="shared" si="21"/>
        <v>578.73</v>
      </c>
      <c r="J85" s="1293">
        <f t="shared" si="22"/>
        <v>28.06789123869763</v>
      </c>
      <c r="K85" s="1294">
        <f t="shared" si="15"/>
        <v>16488.1797444</v>
      </c>
      <c r="L85" s="1294">
        <f t="shared" si="23"/>
        <v>42083.099400423816</v>
      </c>
      <c r="M85" s="1295">
        <f t="shared" si="16"/>
        <v>42083.099400423816</v>
      </c>
      <c r="N85" s="1249">
        <f t="shared" si="34"/>
        <v>0.19892488097366726</v>
      </c>
      <c r="O85" s="1249">
        <f t="shared" si="34"/>
        <v>0.26585903447659598</v>
      </c>
      <c r="P85" s="1249">
        <f t="shared" si="34"/>
        <v>8.9228108703258049E-2</v>
      </c>
      <c r="Q85" s="1249">
        <f t="shared" si="34"/>
        <v>0</v>
      </c>
      <c r="R85" s="1249">
        <f t="shared" si="34"/>
        <v>0</v>
      </c>
      <c r="S85" s="1249">
        <f t="shared" si="34"/>
        <v>0</v>
      </c>
      <c r="T85" s="1249">
        <f t="shared" si="34"/>
        <v>0.4459879758464787</v>
      </c>
      <c r="U85" s="1282">
        <f t="shared" si="32"/>
        <v>1</v>
      </c>
      <c r="V85" s="1283">
        <f t="shared" si="35"/>
        <v>0.29028184578274857</v>
      </c>
      <c r="W85" s="1249">
        <f t="shared" si="35"/>
        <v>0.30317187715157518</v>
      </c>
      <c r="X85" s="1249">
        <f t="shared" si="35"/>
        <v>8.2805443243048754E-2</v>
      </c>
      <c r="Y85" s="1249">
        <f t="shared" si="35"/>
        <v>0</v>
      </c>
      <c r="Z85" s="1249">
        <f t="shared" si="35"/>
        <v>0</v>
      </c>
      <c r="AA85" s="1249">
        <f t="shared" si="35"/>
        <v>0</v>
      </c>
      <c r="AB85" s="1249">
        <f t="shared" si="35"/>
        <v>0.32374083382262742</v>
      </c>
      <c r="AC85" s="1282">
        <f t="shared" si="26"/>
        <v>0.99999999999999989</v>
      </c>
    </row>
    <row r="86" spans="1:29">
      <c r="A86" s="187">
        <f t="shared" si="33"/>
        <v>1986</v>
      </c>
      <c r="B86" s="1655">
        <v>29.230110000000003</v>
      </c>
      <c r="C86" s="528">
        <v>1499.5998263576867</v>
      </c>
      <c r="D86" s="1577">
        <v>0</v>
      </c>
      <c r="E86" s="1578">
        <v>0</v>
      </c>
      <c r="F86" s="186">
        <f t="shared" si="27"/>
        <v>0.71479999999999999</v>
      </c>
      <c r="G86" s="186">
        <f t="shared" si="28"/>
        <v>0.28959999999999997</v>
      </c>
      <c r="H86" s="478">
        <v>0</v>
      </c>
      <c r="I86" s="1292">
        <f t="shared" si="21"/>
        <v>578.73</v>
      </c>
      <c r="J86" s="1293">
        <f t="shared" si="22"/>
        <v>28.06789123869763</v>
      </c>
      <c r="K86" s="1294">
        <f t="shared" si="15"/>
        <v>16916.341560300003</v>
      </c>
      <c r="L86" s="1294">
        <f t="shared" si="23"/>
        <v>42090.604827777403</v>
      </c>
      <c r="M86" s="1295">
        <f t="shared" si="16"/>
        <v>42090.604827777403</v>
      </c>
      <c r="N86" s="1249">
        <f t="shared" si="34"/>
        <v>0.19892488097366726</v>
      </c>
      <c r="O86" s="1249">
        <f t="shared" si="34"/>
        <v>0.26585903447659598</v>
      </c>
      <c r="P86" s="1249">
        <f t="shared" si="34"/>
        <v>8.9228108703258049E-2</v>
      </c>
      <c r="Q86" s="1249">
        <f t="shared" si="34"/>
        <v>0</v>
      </c>
      <c r="R86" s="1249">
        <f t="shared" si="34"/>
        <v>0</v>
      </c>
      <c r="S86" s="1249">
        <f t="shared" si="34"/>
        <v>0</v>
      </c>
      <c r="T86" s="1249">
        <f t="shared" si="34"/>
        <v>0.4459879758464787</v>
      </c>
      <c r="U86" s="1282">
        <f t="shared" si="32"/>
        <v>1</v>
      </c>
      <c r="V86" s="1283">
        <f t="shared" si="35"/>
        <v>0.29028184578274857</v>
      </c>
      <c r="W86" s="1249">
        <f t="shared" si="35"/>
        <v>0.30317187715157518</v>
      </c>
      <c r="X86" s="1249">
        <f t="shared" si="35"/>
        <v>8.2805443243048754E-2</v>
      </c>
      <c r="Y86" s="1249">
        <f t="shared" si="35"/>
        <v>0</v>
      </c>
      <c r="Z86" s="1249">
        <f t="shared" si="35"/>
        <v>0</v>
      </c>
      <c r="AA86" s="1249">
        <f t="shared" si="35"/>
        <v>0</v>
      </c>
      <c r="AB86" s="1249">
        <f t="shared" si="35"/>
        <v>0.32374083382262742</v>
      </c>
      <c r="AC86" s="1282">
        <f t="shared" si="26"/>
        <v>0.99999999999999989</v>
      </c>
    </row>
    <row r="87" spans="1:29">
      <c r="A87" s="187">
        <f t="shared" si="33"/>
        <v>1987</v>
      </c>
      <c r="B87" s="1655">
        <v>29.96903</v>
      </c>
      <c r="C87" s="528">
        <v>1531.1024480840374</v>
      </c>
      <c r="D87" s="1577">
        <v>0</v>
      </c>
      <c r="E87" s="1578">
        <v>0</v>
      </c>
      <c r="F87" s="186">
        <f t="shared" si="27"/>
        <v>0.71479999999999999</v>
      </c>
      <c r="G87" s="186">
        <f t="shared" si="28"/>
        <v>0.28959999999999997</v>
      </c>
      <c r="H87" s="478">
        <v>0</v>
      </c>
      <c r="I87" s="1292">
        <f t="shared" si="21"/>
        <v>578.73</v>
      </c>
      <c r="J87" s="1293">
        <f t="shared" si="22"/>
        <v>28.06789123869763</v>
      </c>
      <c r="K87" s="1294">
        <f t="shared" si="15"/>
        <v>17343.976731900002</v>
      </c>
      <c r="L87" s="1294">
        <f t="shared" si="23"/>
        <v>42974.816988126448</v>
      </c>
      <c r="M87" s="1295">
        <f t="shared" si="16"/>
        <v>42974.816988126448</v>
      </c>
      <c r="N87" s="1249">
        <f t="shared" si="34"/>
        <v>0.19892488097366726</v>
      </c>
      <c r="O87" s="1249">
        <f t="shared" si="34"/>
        <v>0.26585903447659598</v>
      </c>
      <c r="P87" s="1249">
        <f t="shared" si="34"/>
        <v>8.9228108703258049E-2</v>
      </c>
      <c r="Q87" s="1249">
        <f t="shared" si="34"/>
        <v>0</v>
      </c>
      <c r="R87" s="1249">
        <f t="shared" si="34"/>
        <v>0</v>
      </c>
      <c r="S87" s="1249">
        <f t="shared" si="34"/>
        <v>0</v>
      </c>
      <c r="T87" s="1249">
        <f t="shared" si="34"/>
        <v>0.4459879758464787</v>
      </c>
      <c r="U87" s="1282">
        <f t="shared" si="32"/>
        <v>1</v>
      </c>
      <c r="V87" s="1283">
        <f t="shared" si="35"/>
        <v>0.29028184578274857</v>
      </c>
      <c r="W87" s="1249">
        <f t="shared" si="35"/>
        <v>0.30317187715157518</v>
      </c>
      <c r="X87" s="1249">
        <f t="shared" si="35"/>
        <v>8.2805443243048754E-2</v>
      </c>
      <c r="Y87" s="1249">
        <f t="shared" si="35"/>
        <v>0</v>
      </c>
      <c r="Z87" s="1249">
        <f t="shared" si="35"/>
        <v>0</v>
      </c>
      <c r="AA87" s="1249">
        <f t="shared" si="35"/>
        <v>0</v>
      </c>
      <c r="AB87" s="1249">
        <f t="shared" si="35"/>
        <v>0.32374083382262742</v>
      </c>
      <c r="AC87" s="1282">
        <f t="shared" si="26"/>
        <v>0.99999999999999989</v>
      </c>
    </row>
    <row r="88" spans="1:29">
      <c r="A88" s="187">
        <f t="shared" si="33"/>
        <v>1988</v>
      </c>
      <c r="B88" s="1655">
        <v>30.692480000000003</v>
      </c>
      <c r="C88" s="528">
        <v>1595.4107803645509</v>
      </c>
      <c r="D88" s="1577">
        <v>0</v>
      </c>
      <c r="E88" s="1578">
        <v>0</v>
      </c>
      <c r="F88" s="186">
        <f t="shared" si="27"/>
        <v>0.71479999999999999</v>
      </c>
      <c r="G88" s="186">
        <f t="shared" si="28"/>
        <v>0.28959999999999997</v>
      </c>
      <c r="H88" s="478">
        <v>0</v>
      </c>
      <c r="I88" s="1292">
        <f t="shared" si="21"/>
        <v>578.73</v>
      </c>
      <c r="J88" s="1293">
        <f t="shared" si="22"/>
        <v>28.06789123869763</v>
      </c>
      <c r="K88" s="1294">
        <f t="shared" si="15"/>
        <v>17762.658950400004</v>
      </c>
      <c r="L88" s="1294">
        <f t="shared" si="23"/>
        <v>44779.816264317924</v>
      </c>
      <c r="M88" s="1295">
        <f t="shared" si="16"/>
        <v>44779.816264317924</v>
      </c>
      <c r="N88" s="1249">
        <f t="shared" si="34"/>
        <v>0.19892488097366726</v>
      </c>
      <c r="O88" s="1249">
        <f t="shared" si="34"/>
        <v>0.26585903447659598</v>
      </c>
      <c r="P88" s="1249">
        <f t="shared" si="34"/>
        <v>8.9228108703258049E-2</v>
      </c>
      <c r="Q88" s="1249">
        <f t="shared" si="34"/>
        <v>0</v>
      </c>
      <c r="R88" s="1249">
        <f t="shared" si="34"/>
        <v>0</v>
      </c>
      <c r="S88" s="1249">
        <f t="shared" si="34"/>
        <v>0</v>
      </c>
      <c r="T88" s="1249">
        <f t="shared" si="34"/>
        <v>0.4459879758464787</v>
      </c>
      <c r="U88" s="1282">
        <f t="shared" si="32"/>
        <v>1</v>
      </c>
      <c r="V88" s="1283">
        <f t="shared" si="35"/>
        <v>0.29028184578274857</v>
      </c>
      <c r="W88" s="1249">
        <f t="shared" si="35"/>
        <v>0.30317187715157518</v>
      </c>
      <c r="X88" s="1249">
        <f t="shared" si="35"/>
        <v>8.2805443243048754E-2</v>
      </c>
      <c r="Y88" s="1249">
        <f t="shared" si="35"/>
        <v>0</v>
      </c>
      <c r="Z88" s="1249">
        <f t="shared" si="35"/>
        <v>0</v>
      </c>
      <c r="AA88" s="1249">
        <f t="shared" si="35"/>
        <v>0</v>
      </c>
      <c r="AB88" s="1249">
        <f t="shared" si="35"/>
        <v>0.32374083382262742</v>
      </c>
      <c r="AC88" s="1282">
        <f t="shared" si="26"/>
        <v>0.99999999999999989</v>
      </c>
    </row>
    <row r="89" spans="1:29">
      <c r="A89" s="187">
        <f t="shared" si="33"/>
        <v>1989</v>
      </c>
      <c r="B89" s="1655">
        <v>31.386810000000001</v>
      </c>
      <c r="C89" s="528">
        <v>1633.6174250036995</v>
      </c>
      <c r="D89" s="1577">
        <v>0</v>
      </c>
      <c r="E89" s="1578">
        <v>0</v>
      </c>
      <c r="F89" s="186">
        <f t="shared" si="27"/>
        <v>0.71479999999999999</v>
      </c>
      <c r="G89" s="186">
        <f t="shared" si="28"/>
        <v>0.28959999999999997</v>
      </c>
      <c r="H89" s="478">
        <v>0</v>
      </c>
      <c r="I89" s="1292">
        <f t="shared" si="21"/>
        <v>578.73</v>
      </c>
      <c r="J89" s="1293">
        <f t="shared" si="22"/>
        <v>28.06789123869763</v>
      </c>
      <c r="K89" s="1294">
        <f t="shared" si="15"/>
        <v>18164.488551300001</v>
      </c>
      <c r="L89" s="1294">
        <f t="shared" si="23"/>
        <v>45852.196210645117</v>
      </c>
      <c r="M89" s="1295">
        <f t="shared" si="16"/>
        <v>45852.196210645117</v>
      </c>
      <c r="N89" s="1249">
        <f t="shared" si="34"/>
        <v>0.19892488097366726</v>
      </c>
      <c r="O89" s="1249">
        <f t="shared" si="34"/>
        <v>0.26585903447659598</v>
      </c>
      <c r="P89" s="1249">
        <f t="shared" si="34"/>
        <v>8.9228108703258049E-2</v>
      </c>
      <c r="Q89" s="1249">
        <f t="shared" si="34"/>
        <v>0</v>
      </c>
      <c r="R89" s="1249">
        <f t="shared" si="34"/>
        <v>0</v>
      </c>
      <c r="S89" s="1249">
        <f t="shared" si="34"/>
        <v>0</v>
      </c>
      <c r="T89" s="1249">
        <f t="shared" si="34"/>
        <v>0.4459879758464787</v>
      </c>
      <c r="U89" s="1282">
        <f t="shared" si="32"/>
        <v>1</v>
      </c>
      <c r="V89" s="1283">
        <f t="shared" si="35"/>
        <v>0.29028184578274857</v>
      </c>
      <c r="W89" s="1249">
        <f t="shared" si="35"/>
        <v>0.30317187715157518</v>
      </c>
      <c r="X89" s="1249">
        <f t="shared" si="35"/>
        <v>8.2805443243048754E-2</v>
      </c>
      <c r="Y89" s="1249">
        <f t="shared" si="35"/>
        <v>0</v>
      </c>
      <c r="Z89" s="1249">
        <f t="shared" si="35"/>
        <v>0</v>
      </c>
      <c r="AA89" s="1249">
        <f t="shared" si="35"/>
        <v>0</v>
      </c>
      <c r="AB89" s="1249">
        <f t="shared" si="35"/>
        <v>0.32374083382262742</v>
      </c>
      <c r="AC89" s="1282">
        <f t="shared" si="26"/>
        <v>0.99999999999999989</v>
      </c>
    </row>
    <row r="90" spans="1:29">
      <c r="A90" s="187">
        <f t="shared" si="33"/>
        <v>1990</v>
      </c>
      <c r="B90" s="1655">
        <v>32.032000000000004</v>
      </c>
      <c r="C90" s="528">
        <v>1628.4260228263977</v>
      </c>
      <c r="D90" s="1577">
        <v>0</v>
      </c>
      <c r="E90" s="1578">
        <v>0</v>
      </c>
      <c r="F90" s="186">
        <f t="shared" si="27"/>
        <v>0.71479999999999999</v>
      </c>
      <c r="G90" s="186">
        <f t="shared" si="28"/>
        <v>0.28959999999999997</v>
      </c>
      <c r="H90" s="478">
        <v>0</v>
      </c>
      <c r="I90" s="1292">
        <f t="shared" si="21"/>
        <v>578.73</v>
      </c>
      <c r="J90" s="1293">
        <f t="shared" si="22"/>
        <v>28.06789123869763</v>
      </c>
      <c r="K90" s="1294">
        <f t="shared" si="15"/>
        <v>18537.879360000003</v>
      </c>
      <c r="L90" s="1294">
        <f t="shared" si="23"/>
        <v>45706.484498956277</v>
      </c>
      <c r="M90" s="1295">
        <f t="shared" si="16"/>
        <v>45706.484498956277</v>
      </c>
      <c r="N90" s="1249">
        <f t="shared" si="34"/>
        <v>0.19892488097366726</v>
      </c>
      <c r="O90" s="1249">
        <f t="shared" si="34"/>
        <v>0.26585903447659598</v>
      </c>
      <c r="P90" s="1249">
        <f t="shared" si="34"/>
        <v>8.9228108703258049E-2</v>
      </c>
      <c r="Q90" s="1249">
        <f t="shared" si="34"/>
        <v>0</v>
      </c>
      <c r="R90" s="1249">
        <f t="shared" si="34"/>
        <v>0</v>
      </c>
      <c r="S90" s="1249">
        <f t="shared" si="34"/>
        <v>0</v>
      </c>
      <c r="T90" s="1249">
        <f t="shared" si="34"/>
        <v>0.4459879758464787</v>
      </c>
      <c r="U90" s="1282">
        <f t="shared" si="32"/>
        <v>1</v>
      </c>
      <c r="V90" s="1283">
        <f t="shared" si="35"/>
        <v>0.29028184578274857</v>
      </c>
      <c r="W90" s="1249">
        <f t="shared" si="35"/>
        <v>0.30317187715157518</v>
      </c>
      <c r="X90" s="1249">
        <f t="shared" si="35"/>
        <v>8.2805443243048754E-2</v>
      </c>
      <c r="Y90" s="1249">
        <f t="shared" si="35"/>
        <v>0</v>
      </c>
      <c r="Z90" s="1249">
        <f t="shared" si="35"/>
        <v>0</v>
      </c>
      <c r="AA90" s="1249">
        <f t="shared" si="35"/>
        <v>0</v>
      </c>
      <c r="AB90" s="1249">
        <f t="shared" si="35"/>
        <v>0.32374083382262742</v>
      </c>
      <c r="AC90" s="1282">
        <f t="shared" si="26"/>
        <v>0.99999999999999989</v>
      </c>
    </row>
    <row r="91" spans="1:29">
      <c r="A91" s="187">
        <f t="shared" si="33"/>
        <v>1991</v>
      </c>
      <c r="B91" s="1655">
        <v>32.69903</v>
      </c>
      <c r="C91" s="528">
        <v>1611.8450654448757</v>
      </c>
      <c r="D91" s="1577">
        <v>0</v>
      </c>
      <c r="E91" s="1578">
        <v>0</v>
      </c>
      <c r="F91" s="186">
        <f t="shared" si="27"/>
        <v>0.71479999999999999</v>
      </c>
      <c r="G91" s="186">
        <f t="shared" si="28"/>
        <v>0.28959999999999997</v>
      </c>
      <c r="H91" s="478">
        <v>0</v>
      </c>
      <c r="I91" s="1292">
        <f t="shared" si="21"/>
        <v>578.73</v>
      </c>
      <c r="J91" s="1293">
        <f t="shared" si="22"/>
        <v>28.06789123869763</v>
      </c>
      <c r="K91" s="1294">
        <f t="shared" si="15"/>
        <v>18923.909631900002</v>
      </c>
      <c r="L91" s="1294">
        <f t="shared" si="23"/>
        <v>45241.091990538232</v>
      </c>
      <c r="M91" s="1295">
        <f t="shared" si="16"/>
        <v>45241.091990538232</v>
      </c>
      <c r="N91" s="1249">
        <f t="shared" si="34"/>
        <v>0.19892488097366726</v>
      </c>
      <c r="O91" s="1249">
        <f t="shared" si="34"/>
        <v>0.26585903447659598</v>
      </c>
      <c r="P91" s="1249">
        <f t="shared" si="34"/>
        <v>8.9228108703258049E-2</v>
      </c>
      <c r="Q91" s="1249">
        <f t="shared" si="34"/>
        <v>0</v>
      </c>
      <c r="R91" s="1249">
        <f t="shared" si="34"/>
        <v>0</v>
      </c>
      <c r="S91" s="1249">
        <f t="shared" si="34"/>
        <v>0</v>
      </c>
      <c r="T91" s="1249">
        <f t="shared" si="34"/>
        <v>0.4459879758464787</v>
      </c>
      <c r="U91" s="1282">
        <f t="shared" si="32"/>
        <v>1</v>
      </c>
      <c r="V91" s="1283">
        <f t="shared" si="35"/>
        <v>0.29028184578274857</v>
      </c>
      <c r="W91" s="1249">
        <f t="shared" si="35"/>
        <v>0.30317187715157518</v>
      </c>
      <c r="X91" s="1249">
        <f t="shared" si="35"/>
        <v>8.2805443243048754E-2</v>
      </c>
      <c r="Y91" s="1249">
        <f t="shared" si="35"/>
        <v>0</v>
      </c>
      <c r="Z91" s="1249">
        <f t="shared" si="35"/>
        <v>0</v>
      </c>
      <c r="AA91" s="1249">
        <f t="shared" si="35"/>
        <v>0</v>
      </c>
      <c r="AB91" s="1249">
        <f t="shared" si="35"/>
        <v>0.32374083382262742</v>
      </c>
      <c r="AC91" s="1282">
        <f t="shared" si="26"/>
        <v>0.99999999999999989</v>
      </c>
    </row>
    <row r="92" spans="1:29">
      <c r="A92" s="187">
        <f t="shared" si="33"/>
        <v>1992</v>
      </c>
      <c r="B92" s="1655">
        <v>33.388809999999999</v>
      </c>
      <c r="C92" s="528">
        <v>1577.3990194337794</v>
      </c>
      <c r="D92" s="1577">
        <v>0</v>
      </c>
      <c r="E92" s="1578">
        <v>0</v>
      </c>
      <c r="F92" s="186">
        <f t="shared" si="27"/>
        <v>0.71479999999999999</v>
      </c>
      <c r="G92" s="186">
        <f t="shared" si="28"/>
        <v>0.28959999999999997</v>
      </c>
      <c r="H92" s="478">
        <v>0</v>
      </c>
      <c r="I92" s="1292">
        <f t="shared" si="21"/>
        <v>578.73</v>
      </c>
      <c r="J92" s="1293">
        <f t="shared" si="22"/>
        <v>28.06789123869763</v>
      </c>
      <c r="K92" s="1294">
        <f t="shared" si="15"/>
        <v>19323.106011299998</v>
      </c>
      <c r="L92" s="1294">
        <f t="shared" si="23"/>
        <v>44274.264117495608</v>
      </c>
      <c r="M92" s="1295">
        <f t="shared" si="16"/>
        <v>44274.264117495608</v>
      </c>
      <c r="N92" s="1249">
        <f t="shared" si="34"/>
        <v>0.19892488097366726</v>
      </c>
      <c r="O92" s="1249">
        <f t="shared" si="34"/>
        <v>0.26585903447659598</v>
      </c>
      <c r="P92" s="1249">
        <f t="shared" si="34"/>
        <v>8.9228108703258049E-2</v>
      </c>
      <c r="Q92" s="1249">
        <f t="shared" si="34"/>
        <v>0</v>
      </c>
      <c r="R92" s="1249">
        <f t="shared" si="34"/>
        <v>0</v>
      </c>
      <c r="S92" s="1249">
        <f t="shared" si="34"/>
        <v>0</v>
      </c>
      <c r="T92" s="1249">
        <f t="shared" si="34"/>
        <v>0.4459879758464787</v>
      </c>
      <c r="U92" s="1282">
        <f t="shared" si="32"/>
        <v>1</v>
      </c>
      <c r="V92" s="1283">
        <f t="shared" si="35"/>
        <v>0.29028184578274857</v>
      </c>
      <c r="W92" s="1249">
        <f t="shared" si="35"/>
        <v>0.30317187715157518</v>
      </c>
      <c r="X92" s="1249">
        <f t="shared" si="35"/>
        <v>8.2805443243048754E-2</v>
      </c>
      <c r="Y92" s="1249">
        <f t="shared" si="35"/>
        <v>0</v>
      </c>
      <c r="Z92" s="1249">
        <f t="shared" si="35"/>
        <v>0</v>
      </c>
      <c r="AA92" s="1249">
        <f t="shared" si="35"/>
        <v>0</v>
      </c>
      <c r="AB92" s="1249">
        <f t="shared" si="35"/>
        <v>0.32374083382262742</v>
      </c>
      <c r="AC92" s="1282">
        <f t="shared" si="26"/>
        <v>0.99999999999999989</v>
      </c>
    </row>
    <row r="93" spans="1:29">
      <c r="A93" s="187">
        <f t="shared" si="33"/>
        <v>1993</v>
      </c>
      <c r="B93" s="1655">
        <v>34.101339999999993</v>
      </c>
      <c r="C93" s="528">
        <v>1596.8565504459618</v>
      </c>
      <c r="D93" s="1577">
        <v>0</v>
      </c>
      <c r="E93" s="1578">
        <v>0</v>
      </c>
      <c r="F93" s="186">
        <f t="shared" si="27"/>
        <v>0.71479999999999999</v>
      </c>
      <c r="G93" s="186">
        <f t="shared" si="28"/>
        <v>0.28959999999999997</v>
      </c>
      <c r="H93" s="478">
        <v>0</v>
      </c>
      <c r="I93" s="1292">
        <f t="shared" si="21"/>
        <v>578.73</v>
      </c>
      <c r="J93" s="1293">
        <f t="shared" si="22"/>
        <v>28.06789123869763</v>
      </c>
      <c r="K93" s="1294">
        <f t="shared" si="15"/>
        <v>19735.468498199996</v>
      </c>
      <c r="L93" s="1294">
        <f t="shared" si="23"/>
        <v>44820.395981719135</v>
      </c>
      <c r="M93" s="1295">
        <f t="shared" si="16"/>
        <v>44820.395981719135</v>
      </c>
      <c r="N93" s="1249">
        <f t="shared" si="34"/>
        <v>0.19892488097366726</v>
      </c>
      <c r="O93" s="1249">
        <f t="shared" si="34"/>
        <v>0.26585903447659598</v>
      </c>
      <c r="P93" s="1249">
        <f t="shared" si="34"/>
        <v>8.9228108703258049E-2</v>
      </c>
      <c r="Q93" s="1249">
        <f t="shared" si="34"/>
        <v>0</v>
      </c>
      <c r="R93" s="1249">
        <f t="shared" si="34"/>
        <v>0</v>
      </c>
      <c r="S93" s="1249">
        <f t="shared" si="34"/>
        <v>0</v>
      </c>
      <c r="T93" s="1249">
        <f t="shared" si="34"/>
        <v>0.4459879758464787</v>
      </c>
      <c r="U93" s="1282">
        <f t="shared" si="32"/>
        <v>1</v>
      </c>
      <c r="V93" s="1283">
        <f t="shared" si="35"/>
        <v>0.29028184578274857</v>
      </c>
      <c r="W93" s="1249">
        <f t="shared" si="35"/>
        <v>0.30317187715157518</v>
      </c>
      <c r="X93" s="1249">
        <f t="shared" si="35"/>
        <v>8.2805443243048754E-2</v>
      </c>
      <c r="Y93" s="1249">
        <f t="shared" si="35"/>
        <v>0</v>
      </c>
      <c r="Z93" s="1249">
        <f t="shared" si="35"/>
        <v>0</v>
      </c>
      <c r="AA93" s="1249">
        <f t="shared" si="35"/>
        <v>0</v>
      </c>
      <c r="AB93" s="1249">
        <f t="shared" si="35"/>
        <v>0.32374083382262742</v>
      </c>
      <c r="AC93" s="1282">
        <f t="shared" si="26"/>
        <v>0.99999999999999989</v>
      </c>
    </row>
    <row r="94" spans="1:29">
      <c r="A94" s="187">
        <f t="shared" si="33"/>
        <v>1994</v>
      </c>
      <c r="B94" s="1655">
        <v>34.837530000000001</v>
      </c>
      <c r="C94" s="528">
        <v>1647.9559768112579</v>
      </c>
      <c r="D94" s="1577">
        <v>0</v>
      </c>
      <c r="E94" s="1578">
        <v>0</v>
      </c>
      <c r="F94" s="186">
        <f t="shared" si="27"/>
        <v>0.71479999999999999</v>
      </c>
      <c r="G94" s="186">
        <f t="shared" si="28"/>
        <v>0.28959999999999997</v>
      </c>
      <c r="H94" s="478">
        <v>0</v>
      </c>
      <c r="I94" s="1292">
        <f t="shared" si="21"/>
        <v>578.73</v>
      </c>
      <c r="J94" s="1293">
        <f t="shared" si="22"/>
        <v>28.06789123869763</v>
      </c>
      <c r="K94" s="1294">
        <f t="shared" si="15"/>
        <v>20161.523736900002</v>
      </c>
      <c r="L94" s="1294">
        <f t="shared" si="23"/>
        <v>46254.6491233001</v>
      </c>
      <c r="M94" s="1295">
        <f t="shared" si="16"/>
        <v>46254.6491233001</v>
      </c>
      <c r="N94" s="1249">
        <f t="shared" si="34"/>
        <v>0.19892488097366726</v>
      </c>
      <c r="O94" s="1249">
        <f t="shared" si="34"/>
        <v>0.26585903447659598</v>
      </c>
      <c r="P94" s="1249">
        <f t="shared" si="34"/>
        <v>8.9228108703258049E-2</v>
      </c>
      <c r="Q94" s="1249">
        <f t="shared" si="34"/>
        <v>0</v>
      </c>
      <c r="R94" s="1249">
        <f t="shared" si="34"/>
        <v>0</v>
      </c>
      <c r="S94" s="1249">
        <f t="shared" si="34"/>
        <v>0</v>
      </c>
      <c r="T94" s="1249">
        <f t="shared" si="34"/>
        <v>0.4459879758464787</v>
      </c>
      <c r="U94" s="1282">
        <f t="shared" si="32"/>
        <v>1</v>
      </c>
      <c r="V94" s="1283">
        <f t="shared" si="35"/>
        <v>0.29028184578274857</v>
      </c>
      <c r="W94" s="1249">
        <f t="shared" si="35"/>
        <v>0.30317187715157518</v>
      </c>
      <c r="X94" s="1249">
        <f t="shared" si="35"/>
        <v>8.2805443243048754E-2</v>
      </c>
      <c r="Y94" s="1249">
        <f t="shared" si="35"/>
        <v>0</v>
      </c>
      <c r="Z94" s="1249">
        <f t="shared" si="35"/>
        <v>0</v>
      </c>
      <c r="AA94" s="1249">
        <f t="shared" si="35"/>
        <v>0</v>
      </c>
      <c r="AB94" s="1249">
        <f t="shared" si="35"/>
        <v>0.32374083382262742</v>
      </c>
      <c r="AC94" s="1282">
        <f t="shared" si="26"/>
        <v>0.99999999999999989</v>
      </c>
    </row>
    <row r="95" spans="1:29">
      <c r="A95" s="187">
        <f t="shared" si="33"/>
        <v>1995</v>
      </c>
      <c r="B95" s="1655">
        <v>35.599199999999996</v>
      </c>
      <c r="C95" s="528">
        <v>1699.0425365830638</v>
      </c>
      <c r="D95" s="1577">
        <v>0</v>
      </c>
      <c r="E95" s="1578">
        <v>0</v>
      </c>
      <c r="F95" s="186">
        <f t="shared" si="27"/>
        <v>0.71479999999999999</v>
      </c>
      <c r="G95" s="186">
        <f t="shared" si="28"/>
        <v>0.28959999999999997</v>
      </c>
      <c r="H95" s="478">
        <v>0</v>
      </c>
      <c r="I95" s="1292">
        <f t="shared" si="21"/>
        <v>578.73</v>
      </c>
      <c r="J95" s="1293">
        <f t="shared" si="22"/>
        <v>28.06789123869763</v>
      </c>
      <c r="K95" s="1294">
        <f t="shared" si="15"/>
        <v>20602.325015999999</v>
      </c>
      <c r="L95" s="1294">
        <f t="shared" si="23"/>
        <v>47688.541126734373</v>
      </c>
      <c r="M95" s="1295">
        <f t="shared" si="16"/>
        <v>47688.541126734373</v>
      </c>
      <c r="N95" s="1249">
        <f t="shared" si="34"/>
        <v>0.19892488097366726</v>
      </c>
      <c r="O95" s="1249">
        <f t="shared" si="34"/>
        <v>0.26585903447659598</v>
      </c>
      <c r="P95" s="1249">
        <f t="shared" si="34"/>
        <v>8.9228108703258049E-2</v>
      </c>
      <c r="Q95" s="1249">
        <f t="shared" si="34"/>
        <v>0</v>
      </c>
      <c r="R95" s="1249">
        <f t="shared" si="34"/>
        <v>0</v>
      </c>
      <c r="S95" s="1249">
        <f t="shared" si="34"/>
        <v>0</v>
      </c>
      <c r="T95" s="1249">
        <f t="shared" si="34"/>
        <v>0.4459879758464787</v>
      </c>
      <c r="U95" s="1282">
        <f t="shared" si="32"/>
        <v>1</v>
      </c>
      <c r="V95" s="1283">
        <f t="shared" si="35"/>
        <v>0.29028184578274857</v>
      </c>
      <c r="W95" s="1249">
        <f t="shared" si="35"/>
        <v>0.30317187715157518</v>
      </c>
      <c r="X95" s="1249">
        <f t="shared" si="35"/>
        <v>8.2805443243048754E-2</v>
      </c>
      <c r="Y95" s="1249">
        <f t="shared" si="35"/>
        <v>0</v>
      </c>
      <c r="Z95" s="1249">
        <f t="shared" si="35"/>
        <v>0</v>
      </c>
      <c r="AA95" s="1249">
        <f t="shared" si="35"/>
        <v>0</v>
      </c>
      <c r="AB95" s="1249">
        <f t="shared" si="35"/>
        <v>0.32374083382262742</v>
      </c>
      <c r="AC95" s="1282">
        <f t="shared" si="26"/>
        <v>0.99999999999999989</v>
      </c>
    </row>
    <row r="96" spans="1:29">
      <c r="A96" s="187">
        <f t="shared" si="33"/>
        <v>1996</v>
      </c>
      <c r="B96" s="1655">
        <v>36.4</v>
      </c>
      <c r="C96" s="528">
        <v>1772.1013480030836</v>
      </c>
      <c r="D96" s="1577">
        <v>0</v>
      </c>
      <c r="E96" s="1578">
        <v>0</v>
      </c>
      <c r="F96" s="186">
        <f t="shared" si="27"/>
        <v>0.71479999999999999</v>
      </c>
      <c r="G96" s="186">
        <f t="shared" si="28"/>
        <v>0.28959999999999997</v>
      </c>
      <c r="H96" s="478">
        <v>0</v>
      </c>
      <c r="I96" s="1292">
        <f t="shared" si="21"/>
        <v>578.73</v>
      </c>
      <c r="J96" s="1293">
        <f t="shared" si="22"/>
        <v>28.06789123869763</v>
      </c>
      <c r="K96" s="1294">
        <f t="shared" si="15"/>
        <v>21065.772000000001</v>
      </c>
      <c r="L96" s="1294">
        <f t="shared" si="23"/>
        <v>49739.147899700009</v>
      </c>
      <c r="M96" s="1295">
        <f t="shared" si="16"/>
        <v>49739.147899700009</v>
      </c>
      <c r="N96" s="1249">
        <f t="shared" si="34"/>
        <v>0.19892488097366726</v>
      </c>
      <c r="O96" s="1249">
        <f t="shared" si="34"/>
        <v>0.26585903447659598</v>
      </c>
      <c r="P96" s="1249">
        <f t="shared" si="34"/>
        <v>8.9228108703258049E-2</v>
      </c>
      <c r="Q96" s="1249">
        <f t="shared" si="34"/>
        <v>0</v>
      </c>
      <c r="R96" s="1249">
        <f t="shared" si="34"/>
        <v>0</v>
      </c>
      <c r="S96" s="1249">
        <f t="shared" si="34"/>
        <v>0</v>
      </c>
      <c r="T96" s="1249">
        <f t="shared" si="34"/>
        <v>0.4459879758464787</v>
      </c>
      <c r="U96" s="1282">
        <f t="shared" si="32"/>
        <v>1</v>
      </c>
      <c r="V96" s="1283">
        <f t="shared" si="35"/>
        <v>0.29028184578274857</v>
      </c>
      <c r="W96" s="1249">
        <f t="shared" si="35"/>
        <v>0.30317187715157518</v>
      </c>
      <c r="X96" s="1249">
        <f t="shared" si="35"/>
        <v>8.2805443243048754E-2</v>
      </c>
      <c r="Y96" s="1249">
        <f t="shared" si="35"/>
        <v>0</v>
      </c>
      <c r="Z96" s="1249">
        <f t="shared" si="35"/>
        <v>0</v>
      </c>
      <c r="AA96" s="1249">
        <f t="shared" si="35"/>
        <v>0</v>
      </c>
      <c r="AB96" s="1249">
        <f t="shared" si="35"/>
        <v>0.32374083382262742</v>
      </c>
      <c r="AC96" s="1282">
        <f t="shared" si="26"/>
        <v>0.99999999999999989</v>
      </c>
    </row>
    <row r="97" spans="1:29">
      <c r="A97" s="187">
        <f t="shared" si="33"/>
        <v>1997</v>
      </c>
      <c r="B97" s="1655">
        <v>37.242660000000001</v>
      </c>
      <c r="C97" s="528">
        <v>1818.1760205488283</v>
      </c>
      <c r="D97" s="1577">
        <v>0</v>
      </c>
      <c r="E97" s="1578">
        <v>0</v>
      </c>
      <c r="F97" s="186">
        <f t="shared" si="27"/>
        <v>0.71479999999999999</v>
      </c>
      <c r="G97" s="186">
        <f t="shared" si="28"/>
        <v>0.28959999999999997</v>
      </c>
      <c r="H97" s="478">
        <v>0</v>
      </c>
      <c r="I97" s="1292">
        <f t="shared" si="21"/>
        <v>578.73</v>
      </c>
      <c r="J97" s="1293">
        <f t="shared" si="22"/>
        <v>28.06789123869763</v>
      </c>
      <c r="K97" s="1294">
        <f t="shared" si="15"/>
        <v>21553.444621800001</v>
      </c>
      <c r="L97" s="1294">
        <f t="shared" si="23"/>
        <v>51032.366797572584</v>
      </c>
      <c r="M97" s="1295">
        <f t="shared" si="16"/>
        <v>51032.366797572584</v>
      </c>
      <c r="N97" s="1249">
        <f t="shared" si="34"/>
        <v>0.19892488097366726</v>
      </c>
      <c r="O97" s="1249">
        <f t="shared" si="34"/>
        <v>0.26585903447659598</v>
      </c>
      <c r="P97" s="1249">
        <f t="shared" si="34"/>
        <v>8.9228108703258049E-2</v>
      </c>
      <c r="Q97" s="1249">
        <f t="shared" si="34"/>
        <v>0</v>
      </c>
      <c r="R97" s="1249">
        <f t="shared" si="34"/>
        <v>0</v>
      </c>
      <c r="S97" s="1249">
        <f t="shared" si="34"/>
        <v>0</v>
      </c>
      <c r="T97" s="1249">
        <f t="shared" si="34"/>
        <v>0.4459879758464787</v>
      </c>
      <c r="U97" s="1282">
        <f t="shared" si="32"/>
        <v>1</v>
      </c>
      <c r="V97" s="1283">
        <f t="shared" si="35"/>
        <v>0.29028184578274857</v>
      </c>
      <c r="W97" s="1249">
        <f t="shared" si="35"/>
        <v>0.30317187715157518</v>
      </c>
      <c r="X97" s="1249">
        <f t="shared" si="35"/>
        <v>8.2805443243048754E-2</v>
      </c>
      <c r="Y97" s="1249">
        <f t="shared" si="35"/>
        <v>0</v>
      </c>
      <c r="Z97" s="1249">
        <f t="shared" si="35"/>
        <v>0</v>
      </c>
      <c r="AA97" s="1249">
        <f t="shared" si="35"/>
        <v>0</v>
      </c>
      <c r="AB97" s="1249">
        <f t="shared" si="35"/>
        <v>0.32374083382262742</v>
      </c>
      <c r="AC97" s="1282">
        <f t="shared" si="26"/>
        <v>0.99999999999999989</v>
      </c>
    </row>
    <row r="98" spans="1:29">
      <c r="A98" s="187">
        <f t="shared" si="33"/>
        <v>1998</v>
      </c>
      <c r="B98" s="1655">
        <v>38.128999999999998</v>
      </c>
      <c r="C98" s="528">
        <v>1827.2669171060654</v>
      </c>
      <c r="D98" s="1577">
        <v>0</v>
      </c>
      <c r="E98" s="1578">
        <v>0</v>
      </c>
      <c r="F98" s="186">
        <f t="shared" si="27"/>
        <v>0.71479999999999999</v>
      </c>
      <c r="G98" s="186">
        <f t="shared" si="28"/>
        <v>0.28959999999999997</v>
      </c>
      <c r="H98" s="478">
        <v>0</v>
      </c>
      <c r="I98" s="1292">
        <f t="shared" si="21"/>
        <v>578.73</v>
      </c>
      <c r="J98" s="1293">
        <f t="shared" si="22"/>
        <v>28.06789123869763</v>
      </c>
      <c r="K98" s="1294">
        <f t="shared" si="15"/>
        <v>22066.39617</v>
      </c>
      <c r="L98" s="1294">
        <f t="shared" si="23"/>
        <v>51287.529093403362</v>
      </c>
      <c r="M98" s="1295">
        <f t="shared" si="16"/>
        <v>51287.529093403362</v>
      </c>
      <c r="N98" s="1249">
        <f t="shared" si="34"/>
        <v>0.19892488097366726</v>
      </c>
      <c r="O98" s="1249">
        <f t="shared" si="34"/>
        <v>0.26585903447659598</v>
      </c>
      <c r="P98" s="1249">
        <f t="shared" si="34"/>
        <v>8.9228108703258049E-2</v>
      </c>
      <c r="Q98" s="1249">
        <f t="shared" si="34"/>
        <v>0</v>
      </c>
      <c r="R98" s="1249">
        <f t="shared" si="34"/>
        <v>0</v>
      </c>
      <c r="S98" s="1249">
        <f t="shared" si="34"/>
        <v>0</v>
      </c>
      <c r="T98" s="1249">
        <f t="shared" si="34"/>
        <v>0.4459879758464787</v>
      </c>
      <c r="U98" s="1282">
        <f t="shared" si="32"/>
        <v>1</v>
      </c>
      <c r="V98" s="1283">
        <f t="shared" si="35"/>
        <v>0.29028184578274857</v>
      </c>
      <c r="W98" s="1249">
        <f t="shared" si="35"/>
        <v>0.30317187715157518</v>
      </c>
      <c r="X98" s="1249">
        <f t="shared" si="35"/>
        <v>8.2805443243048754E-2</v>
      </c>
      <c r="Y98" s="1249">
        <f t="shared" si="35"/>
        <v>0</v>
      </c>
      <c r="Z98" s="1249">
        <f t="shared" si="35"/>
        <v>0</v>
      </c>
      <c r="AA98" s="1249">
        <f t="shared" si="35"/>
        <v>0</v>
      </c>
      <c r="AB98" s="1249">
        <f t="shared" si="35"/>
        <v>0.32374083382262742</v>
      </c>
      <c r="AC98" s="1282">
        <f t="shared" si="26"/>
        <v>0.99999999999999989</v>
      </c>
    </row>
    <row r="99" spans="1:29" ht="13.9" customHeight="1" thickBot="1">
      <c r="A99" s="187">
        <f t="shared" si="33"/>
        <v>1999</v>
      </c>
      <c r="B99" s="1655">
        <v>39.059930000000001</v>
      </c>
      <c r="C99" s="528">
        <v>1871.1212545027383</v>
      </c>
      <c r="D99" s="1577">
        <v>0</v>
      </c>
      <c r="E99" s="1578">
        <v>0</v>
      </c>
      <c r="F99" s="186">
        <f t="shared" si="27"/>
        <v>0.71479999999999999</v>
      </c>
      <c r="G99" s="186">
        <f t="shared" si="28"/>
        <v>0.28959999999999997</v>
      </c>
      <c r="H99" s="478">
        <v>0</v>
      </c>
      <c r="I99" s="1292">
        <f t="shared" si="21"/>
        <v>578.73</v>
      </c>
      <c r="J99" s="1293">
        <f t="shared" si="22"/>
        <v>28.06789123869763</v>
      </c>
      <c r="K99" s="1294">
        <f t="shared" si="15"/>
        <v>22605.153288900001</v>
      </c>
      <c r="L99" s="1294">
        <f t="shared" si="23"/>
        <v>52518.42786579833</v>
      </c>
      <c r="M99" s="1295">
        <f t="shared" si="16"/>
        <v>52518.42786579833</v>
      </c>
      <c r="N99" s="1249">
        <f t="shared" ref="N99:T114" si="36">N98</f>
        <v>0.19892488097366726</v>
      </c>
      <c r="O99" s="1249">
        <f t="shared" si="36"/>
        <v>0.26585903447659598</v>
      </c>
      <c r="P99" s="1249">
        <f t="shared" si="36"/>
        <v>8.9228108703258049E-2</v>
      </c>
      <c r="Q99" s="1249">
        <f t="shared" si="36"/>
        <v>0</v>
      </c>
      <c r="R99" s="1249">
        <f t="shared" si="36"/>
        <v>0</v>
      </c>
      <c r="S99" s="1249">
        <f t="shared" si="36"/>
        <v>0</v>
      </c>
      <c r="T99" s="1249">
        <f t="shared" si="36"/>
        <v>0.4459879758464787</v>
      </c>
      <c r="U99" s="1282">
        <f t="shared" si="32"/>
        <v>1</v>
      </c>
      <c r="V99" s="1283">
        <f t="shared" si="35"/>
        <v>0.29028184578274857</v>
      </c>
      <c r="W99" s="1249">
        <f t="shared" si="35"/>
        <v>0.30317187715157518</v>
      </c>
      <c r="X99" s="1249">
        <f t="shared" si="35"/>
        <v>8.2805443243048754E-2</v>
      </c>
      <c r="Y99" s="1249">
        <f t="shared" si="35"/>
        <v>0</v>
      </c>
      <c r="Z99" s="1249">
        <f t="shared" si="35"/>
        <v>0</v>
      </c>
      <c r="AA99" s="1249">
        <f t="shared" si="35"/>
        <v>0</v>
      </c>
      <c r="AB99" s="1249">
        <f t="shared" si="35"/>
        <v>0.32374083382262742</v>
      </c>
      <c r="AC99" s="1282">
        <f t="shared" si="26"/>
        <v>0.99999999999999989</v>
      </c>
    </row>
    <row r="100" spans="1:29">
      <c r="A100" s="1663">
        <f t="shared" si="33"/>
        <v>2000</v>
      </c>
      <c r="B100" s="1664">
        <v>44</v>
      </c>
      <c r="C100" s="1665">
        <v>1949.7084122320282</v>
      </c>
      <c r="D100" s="1666">
        <v>0</v>
      </c>
      <c r="E100" s="1667">
        <f>D100</f>
        <v>0</v>
      </c>
      <c r="F100" s="1668">
        <f t="shared" si="27"/>
        <v>0.71479999999999999</v>
      </c>
      <c r="G100" s="1668">
        <f t="shared" si="28"/>
        <v>0.28959999999999997</v>
      </c>
      <c r="H100" s="1669">
        <v>501</v>
      </c>
      <c r="I100" s="1670">
        <f t="shared" si="21"/>
        <v>578.73</v>
      </c>
      <c r="J100" s="1671">
        <f t="shared" si="22"/>
        <v>28.06789123869763</v>
      </c>
      <c r="K100" s="1672">
        <f t="shared" si="15"/>
        <v>25464.120000000003</v>
      </c>
      <c r="L100" s="1672">
        <f>C100*J100*1000/1000</f>
        <v>54724.203661702413</v>
      </c>
      <c r="M100" s="1673">
        <f t="shared" si="16"/>
        <v>54724.203661702413</v>
      </c>
      <c r="N100" s="1668">
        <f t="shared" si="36"/>
        <v>0.19892488097366726</v>
      </c>
      <c r="O100" s="1668">
        <f t="shared" si="36"/>
        <v>0.26585903447659598</v>
      </c>
      <c r="P100" s="1668">
        <f t="shared" si="36"/>
        <v>8.9228108703258049E-2</v>
      </c>
      <c r="Q100" s="1668">
        <f t="shared" si="36"/>
        <v>0</v>
      </c>
      <c r="R100" s="1668">
        <f t="shared" si="36"/>
        <v>0</v>
      </c>
      <c r="S100" s="1668">
        <f t="shared" si="36"/>
        <v>0</v>
      </c>
      <c r="T100" s="1668">
        <f t="shared" si="36"/>
        <v>0.4459879758464787</v>
      </c>
      <c r="U100" s="1674">
        <f t="shared" si="32"/>
        <v>1</v>
      </c>
      <c r="V100" s="1668">
        <f t="shared" ref="V100:AB115" si="37">V99</f>
        <v>0.29028184578274857</v>
      </c>
      <c r="W100" s="1668">
        <f t="shared" si="37"/>
        <v>0.30317187715157518</v>
      </c>
      <c r="X100" s="1668">
        <f t="shared" si="37"/>
        <v>8.2805443243048754E-2</v>
      </c>
      <c r="Y100" s="1668">
        <f t="shared" si="37"/>
        <v>0</v>
      </c>
      <c r="Z100" s="1668">
        <f t="shared" si="37"/>
        <v>0</v>
      </c>
      <c r="AA100" s="1668">
        <f t="shared" si="37"/>
        <v>0</v>
      </c>
      <c r="AB100" s="1668">
        <f t="shared" si="37"/>
        <v>0.32374083382262742</v>
      </c>
      <c r="AC100" s="1674">
        <f t="shared" si="26"/>
        <v>0.99999999999999989</v>
      </c>
    </row>
    <row r="101" spans="1:29">
      <c r="A101" s="748">
        <f t="shared" si="33"/>
        <v>2001</v>
      </c>
      <c r="B101" s="1656">
        <v>44.91</v>
      </c>
      <c r="C101" s="759">
        <v>2002.3504334346351</v>
      </c>
      <c r="D101" s="1113">
        <v>0</v>
      </c>
      <c r="E101" s="1100">
        <f t="shared" ref="E101:E117" si="38">D101</f>
        <v>0</v>
      </c>
      <c r="F101" s="754">
        <f t="shared" si="27"/>
        <v>0.71479999999999999</v>
      </c>
      <c r="G101" s="754">
        <f t="shared" si="28"/>
        <v>0.28959999999999997</v>
      </c>
      <c r="H101" s="755">
        <v>501</v>
      </c>
      <c r="I101" s="1297">
        <f t="shared" si="21"/>
        <v>578.73</v>
      </c>
      <c r="J101" s="1675">
        <f t="shared" si="22"/>
        <v>28.06789123869763</v>
      </c>
      <c r="K101" s="1676">
        <f t="shared" si="15"/>
        <v>25990.764299999999</v>
      </c>
      <c r="L101" s="1676">
        <f t="shared" ref="L101:L116" si="39">C101*J101*1000/1000</f>
        <v>56201.754187402395</v>
      </c>
      <c r="M101" s="756">
        <f t="shared" si="16"/>
        <v>56201.754187402395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6">
        <v>45.533000000000001</v>
      </c>
      <c r="C102" s="759">
        <v>2076.4450554986461</v>
      </c>
      <c r="D102" s="1113">
        <v>0</v>
      </c>
      <c r="E102" s="1100">
        <f t="shared" si="38"/>
        <v>0</v>
      </c>
      <c r="F102" s="754">
        <f t="shared" si="27"/>
        <v>0.71479999999999999</v>
      </c>
      <c r="G102" s="754">
        <f t="shared" si="28"/>
        <v>0.28959999999999997</v>
      </c>
      <c r="H102" s="755">
        <v>501</v>
      </c>
      <c r="I102" s="1297">
        <f t="shared" si="21"/>
        <v>578.73</v>
      </c>
      <c r="J102" s="1675">
        <f t="shared" si="22"/>
        <v>28.06789123869763</v>
      </c>
      <c r="K102" s="1676">
        <f t="shared" si="15"/>
        <v>26351.313090000003</v>
      </c>
      <c r="L102" s="1676">
        <f t="shared" si="39"/>
        <v>58281.433980867463</v>
      </c>
      <c r="M102" s="756">
        <f t="shared" si="16"/>
        <v>58281.433980867463</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6">
        <v>46.116</v>
      </c>
      <c r="C103" s="759">
        <v>2137.6810634216249</v>
      </c>
      <c r="D103" s="1113">
        <v>0</v>
      </c>
      <c r="E103" s="1100">
        <f t="shared" si="38"/>
        <v>0</v>
      </c>
      <c r="F103" s="754">
        <f t="shared" si="27"/>
        <v>0.71479999999999999</v>
      </c>
      <c r="G103" s="754">
        <f t="shared" si="28"/>
        <v>0.28959999999999997</v>
      </c>
      <c r="H103" s="755">
        <v>501</v>
      </c>
      <c r="I103" s="1297">
        <f t="shared" si="21"/>
        <v>578.73</v>
      </c>
      <c r="J103" s="1675">
        <f t="shared" si="22"/>
        <v>28.06789123869763</v>
      </c>
      <c r="K103" s="1676">
        <f t="shared" si="15"/>
        <v>26688.712680000001</v>
      </c>
      <c r="L103" s="1676">
        <f t="shared" si="39"/>
        <v>60000.199591141652</v>
      </c>
      <c r="M103" s="756">
        <f t="shared" si="16"/>
        <v>60000.199591141652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6">
        <v>46.664999999999999</v>
      </c>
      <c r="C104" s="759">
        <v>2235.0428749750399</v>
      </c>
      <c r="D104" s="1113">
        <v>0</v>
      </c>
      <c r="E104" s="1100">
        <f t="shared" si="38"/>
        <v>0</v>
      </c>
      <c r="F104" s="754">
        <f t="shared" si="27"/>
        <v>0.71479999999999999</v>
      </c>
      <c r="G104" s="754">
        <f t="shared" si="28"/>
        <v>0.28959999999999997</v>
      </c>
      <c r="H104" s="755">
        <v>501</v>
      </c>
      <c r="I104" s="1297">
        <f t="shared" si="21"/>
        <v>578.73</v>
      </c>
      <c r="J104" s="1675">
        <f t="shared" si="22"/>
        <v>28.06789123869763</v>
      </c>
      <c r="K104" s="1676">
        <f t="shared" si="15"/>
        <v>27006.435450000001</v>
      </c>
      <c r="L104" s="1676">
        <f t="shared" si="39"/>
        <v>62732.940328625482</v>
      </c>
      <c r="M104" s="756">
        <f t="shared" si="16"/>
        <v>62732.940328625482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6">
        <v>47.198</v>
      </c>
      <c r="C105" s="759">
        <v>2352.9873460848162</v>
      </c>
      <c r="D105" s="1113">
        <v>0</v>
      </c>
      <c r="E105" s="1100">
        <f t="shared" si="38"/>
        <v>0</v>
      </c>
      <c r="F105" s="754">
        <f t="shared" si="27"/>
        <v>0.71479999999999999</v>
      </c>
      <c r="G105" s="754">
        <f t="shared" si="28"/>
        <v>0.28959999999999997</v>
      </c>
      <c r="H105" s="755">
        <v>501</v>
      </c>
      <c r="I105" s="1297">
        <f t="shared" si="21"/>
        <v>578.73</v>
      </c>
      <c r="J105" s="1675">
        <f t="shared" si="22"/>
        <v>28.06789123869763</v>
      </c>
      <c r="K105" s="1676">
        <f t="shared" si="15"/>
        <v>27314.898540000002</v>
      </c>
      <c r="L105" s="1676">
        <f t="shared" si="39"/>
        <v>66043.392915940407</v>
      </c>
      <c r="M105" s="756">
        <f t="shared" si="16"/>
        <v>66043.392915940407</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6">
        <v>47.731000000000002</v>
      </c>
      <c r="C106" s="759">
        <v>2484.843995854224</v>
      </c>
      <c r="D106" s="1113">
        <v>0</v>
      </c>
      <c r="E106" s="1100">
        <f t="shared" si="38"/>
        <v>0</v>
      </c>
      <c r="F106" s="754">
        <f t="shared" si="27"/>
        <v>0.71479999999999999</v>
      </c>
      <c r="G106" s="754">
        <f t="shared" si="28"/>
        <v>0.28959999999999997</v>
      </c>
      <c r="H106" s="755">
        <v>501</v>
      </c>
      <c r="I106" s="1297">
        <f t="shared" si="21"/>
        <v>578.73</v>
      </c>
      <c r="J106" s="1675">
        <f t="shared" si="22"/>
        <v>28.06789123869763</v>
      </c>
      <c r="K106" s="1676">
        <f t="shared" si="15"/>
        <v>27623.361630000003</v>
      </c>
      <c r="L106" s="1676">
        <f t="shared" si="39"/>
        <v>69744.331020767189</v>
      </c>
      <c r="M106" s="756">
        <f t="shared" si="16"/>
        <v>69744.331020767189</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6">
        <v>48.256999999999998</v>
      </c>
      <c r="C107" s="759">
        <v>2618.0434591809503</v>
      </c>
      <c r="D107" s="1113">
        <v>0</v>
      </c>
      <c r="E107" s="1100">
        <f t="shared" si="38"/>
        <v>0</v>
      </c>
      <c r="F107" s="754">
        <f t="shared" si="27"/>
        <v>0.71479999999999999</v>
      </c>
      <c r="G107" s="754">
        <f t="shared" si="28"/>
        <v>0.28959999999999997</v>
      </c>
      <c r="H107" s="755">
        <v>501</v>
      </c>
      <c r="I107" s="1297">
        <f t="shared" si="21"/>
        <v>578.73</v>
      </c>
      <c r="J107" s="1675">
        <f t="shared" si="22"/>
        <v>28.06789123869763</v>
      </c>
      <c r="K107" s="1676">
        <f t="shared" si="15"/>
        <v>27927.77361</v>
      </c>
      <c r="L107" s="1676">
        <f t="shared" si="39"/>
        <v>73482.959070474637</v>
      </c>
      <c r="M107" s="756">
        <f t="shared" si="16"/>
        <v>73482.959070474637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6">
        <v>48.792999999999999</v>
      </c>
      <c r="C108" s="759">
        <v>2701.5864496631075</v>
      </c>
      <c r="D108" s="1113">
        <v>0</v>
      </c>
      <c r="E108" s="1100">
        <f t="shared" si="38"/>
        <v>0</v>
      </c>
      <c r="F108" s="754">
        <f t="shared" si="27"/>
        <v>0.71479999999999999</v>
      </c>
      <c r="G108" s="754">
        <f t="shared" si="28"/>
        <v>0.28959999999999997</v>
      </c>
      <c r="H108" s="755">
        <v>501</v>
      </c>
      <c r="I108" s="1297">
        <f t="shared" si="21"/>
        <v>578.73</v>
      </c>
      <c r="J108" s="1675">
        <f t="shared" si="22"/>
        <v>28.06789123869763</v>
      </c>
      <c r="K108" s="1676">
        <f t="shared" si="15"/>
        <v>28237.972890000001</v>
      </c>
      <c r="L108" s="1676">
        <f t="shared" si="39"/>
        <v>75827.834641083376</v>
      </c>
      <c r="M108" s="756">
        <f t="shared" si="16"/>
        <v>75827.834641083376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6">
        <v>49.32</v>
      </c>
      <c r="C109" s="759">
        <v>2660.0336366320498</v>
      </c>
      <c r="D109" s="1113">
        <v>0</v>
      </c>
      <c r="E109" s="1100">
        <f t="shared" si="38"/>
        <v>0</v>
      </c>
      <c r="F109" s="754">
        <f t="shared" si="27"/>
        <v>0.71479999999999999</v>
      </c>
      <c r="G109" s="754">
        <f t="shared" si="28"/>
        <v>0.28959999999999997</v>
      </c>
      <c r="H109" s="755">
        <v>501</v>
      </c>
      <c r="I109" s="1297">
        <f t="shared" si="21"/>
        <v>578.73</v>
      </c>
      <c r="J109" s="1675">
        <f t="shared" si="22"/>
        <v>28.06789123869763</v>
      </c>
      <c r="K109" s="1676">
        <f t="shared" si="15"/>
        <v>28542.963600000003</v>
      </c>
      <c r="L109" s="1676">
        <f t="shared" si="39"/>
        <v>74661.534804265713</v>
      </c>
      <c r="M109" s="756">
        <f t="shared" si="16"/>
        <v>74661.534804265713</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6">
        <v>49.87</v>
      </c>
      <c r="C110" s="759">
        <v>2740.8914987475191</v>
      </c>
      <c r="D110" s="1113">
        <v>0</v>
      </c>
      <c r="E110" s="1100">
        <f t="shared" si="38"/>
        <v>0</v>
      </c>
      <c r="F110" s="749">
        <f t="shared" si="27"/>
        <v>0.71479999999999999</v>
      </c>
      <c r="G110" s="749">
        <f t="shared" si="28"/>
        <v>0.28959999999999997</v>
      </c>
      <c r="H110" s="750">
        <v>501</v>
      </c>
      <c r="I110" s="1296">
        <f t="shared" ref="I110:I116" si="40">($I$117-$I$109)/($A$117-$A$109)+I109</f>
        <v>559.42164173673609</v>
      </c>
      <c r="J110" s="1677">
        <f t="shared" si="22"/>
        <v>28.06789123869763</v>
      </c>
      <c r="K110" s="751">
        <f t="shared" si="15"/>
        <v>27898.357273411028</v>
      </c>
      <c r="L110" s="751">
        <f t="shared" si="39"/>
        <v>76931.04448391631</v>
      </c>
      <c r="M110" s="752">
        <f t="shared" si="16"/>
        <v>76931.04448391631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6">
        <v>51.771000000000001</v>
      </c>
      <c r="C111" s="759">
        <v>2830.9069841561718</v>
      </c>
      <c r="D111" s="1113">
        <v>0</v>
      </c>
      <c r="E111" s="1100">
        <f t="shared" si="38"/>
        <v>0</v>
      </c>
      <c r="F111" s="754">
        <f t="shared" si="27"/>
        <v>0.71479999999999999</v>
      </c>
      <c r="G111" s="754">
        <f t="shared" si="28"/>
        <v>0.28959999999999997</v>
      </c>
      <c r="H111" s="755">
        <v>501</v>
      </c>
      <c r="I111" s="1297">
        <f t="shared" si="40"/>
        <v>540.11328347347217</v>
      </c>
      <c r="J111" s="1675">
        <f t="shared" si="22"/>
        <v>28.06789123869763</v>
      </c>
      <c r="K111" s="1676">
        <f>B111*I110</f>
        <v>28961.817814352566</v>
      </c>
      <c r="L111" s="1676">
        <f t="shared" si="39"/>
        <v>79457.589338164951</v>
      </c>
      <c r="M111" s="756">
        <f t="shared" si="16"/>
        <v>79457.589338164951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759">
        <v>52.325432882070082</v>
      </c>
      <c r="C112" s="759">
        <v>2893.5650000000564</v>
      </c>
      <c r="D112" s="1113">
        <v>0</v>
      </c>
      <c r="E112" s="1100">
        <f t="shared" si="38"/>
        <v>0</v>
      </c>
      <c r="F112" s="754">
        <f t="shared" si="27"/>
        <v>0.71479999999999999</v>
      </c>
      <c r="G112" s="754">
        <f t="shared" si="28"/>
        <v>0.28959999999999997</v>
      </c>
      <c r="H112" s="755">
        <v>501</v>
      </c>
      <c r="I112" s="1297">
        <f t="shared" si="40"/>
        <v>520.80492521020824</v>
      </c>
      <c r="J112" s="1675">
        <f t="shared" si="22"/>
        <v>28.06789123869763</v>
      </c>
      <c r="K112" s="1676">
        <f t="shared" ref="K112:K150" si="41">B112*I112</f>
        <v>27251.34315873828</v>
      </c>
      <c r="L112" s="1676">
        <f t="shared" si="39"/>
        <v>81216.267712103698</v>
      </c>
      <c r="M112" s="756">
        <f t="shared" si="16"/>
        <v>81216.267712103698</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759">
        <v>53.104386458423342</v>
      </c>
      <c r="C113" s="759">
        <v>2969.1963051355538</v>
      </c>
      <c r="D113" s="1113">
        <v>0</v>
      </c>
      <c r="E113" s="1100">
        <f t="shared" si="38"/>
        <v>0</v>
      </c>
      <c r="F113" s="754">
        <f t="shared" si="27"/>
        <v>0.71479999999999999</v>
      </c>
      <c r="G113" s="754">
        <f t="shared" si="28"/>
        <v>0.28959999999999997</v>
      </c>
      <c r="H113" s="755">
        <v>501</v>
      </c>
      <c r="I113" s="1297">
        <f t="shared" si="40"/>
        <v>501.49656694694431</v>
      </c>
      <c r="J113" s="1675">
        <f t="shared" si="22"/>
        <v>28.06789123869763</v>
      </c>
      <c r="K113" s="1676">
        <f t="shared" si="41"/>
        <v>26631.667498723105</v>
      </c>
      <c r="L113" s="1676">
        <f t="shared" si="39"/>
        <v>83339.078958887578</v>
      </c>
      <c r="M113" s="756">
        <f t="shared" si="16"/>
        <v>83339.078958887578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759">
        <v>53.912365691429272</v>
      </c>
      <c r="C114" s="759">
        <v>3022.2173632302474</v>
      </c>
      <c r="D114" s="1113">
        <v>0</v>
      </c>
      <c r="E114" s="1100">
        <f t="shared" si="38"/>
        <v>0</v>
      </c>
      <c r="F114" s="754">
        <f t="shared" si="27"/>
        <v>0.71479999999999999</v>
      </c>
      <c r="G114" s="754">
        <f t="shared" si="28"/>
        <v>0.28959999999999997</v>
      </c>
      <c r="H114" s="755">
        <v>501</v>
      </c>
      <c r="I114" s="1297">
        <f t="shared" si="40"/>
        <v>482.18820868368039</v>
      </c>
      <c r="J114" s="1675">
        <f t="shared" si="22"/>
        <v>28.06789123869763</v>
      </c>
      <c r="K114" s="1676">
        <f t="shared" si="41"/>
        <v>25995.907038649788</v>
      </c>
      <c r="L114" s="1676">
        <f t="shared" si="39"/>
        <v>84827.268250850117</v>
      </c>
      <c r="M114" s="756">
        <f t="shared" ref="M114:M116" si="42">C114*J114*1000/1000</f>
        <v>84827.268250850117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759">
        <v>54.750491457321111</v>
      </c>
      <c r="C115" s="759">
        <v>3060.2316404410249</v>
      </c>
      <c r="D115" s="1113">
        <v>0</v>
      </c>
      <c r="E115" s="1100">
        <f t="shared" si="38"/>
        <v>0</v>
      </c>
      <c r="F115" s="754">
        <f t="shared" si="27"/>
        <v>0.71479999999999999</v>
      </c>
      <c r="G115" s="754">
        <f t="shared" si="28"/>
        <v>0.28959999999999997</v>
      </c>
      <c r="H115" s="755">
        <v>501</v>
      </c>
      <c r="I115" s="1297">
        <f t="shared" si="40"/>
        <v>462.87985042041646</v>
      </c>
      <c r="J115" s="1675">
        <f t="shared" ref="J115:J116" si="45">J114</f>
        <v>28.06789123869763</v>
      </c>
      <c r="K115" s="1676">
        <f t="shared" si="41"/>
        <v>25342.899296209085</v>
      </c>
      <c r="L115" s="1676">
        <f t="shared" si="39"/>
        <v>85894.248849119918</v>
      </c>
      <c r="M115" s="756">
        <f t="shared" si="42"/>
        <v>85894.248849119918</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759">
        <v>55.619940469824826</v>
      </c>
      <c r="C116" s="759">
        <v>3082.8658989519636</v>
      </c>
      <c r="D116" s="1113">
        <v>0</v>
      </c>
      <c r="E116" s="1100">
        <f t="shared" si="38"/>
        <v>0</v>
      </c>
      <c r="F116" s="754">
        <f t="shared" ref="F116:F117" si="48">F115</f>
        <v>0.71479999999999999</v>
      </c>
      <c r="G116" s="754">
        <f t="shared" ref="G116:G117" si="49">G115</f>
        <v>0.28959999999999997</v>
      </c>
      <c r="H116" s="755">
        <v>501</v>
      </c>
      <c r="I116" s="1297">
        <f t="shared" si="40"/>
        <v>443.57149215715253</v>
      </c>
      <c r="J116" s="1675">
        <f t="shared" si="45"/>
        <v>28.06789123869763</v>
      </c>
      <c r="K116" s="1676">
        <f t="shared" si="41"/>
        <v>24671.419987892194</v>
      </c>
      <c r="L116" s="1676">
        <f t="shared" si="39"/>
        <v>86529.544755273513</v>
      </c>
      <c r="M116" s="756">
        <f t="shared" si="42"/>
        <v>86529.544755273513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c r="A117" s="748">
        <f>A116+1</f>
        <v>2017</v>
      </c>
      <c r="B117" s="759">
        <v>56.521948041648095</v>
      </c>
      <c r="C117" s="759">
        <v>3117.5115237718705</v>
      </c>
      <c r="D117" s="751">
        <f>'Waste Summary 2017 SASOW'!J10+'Waste Summary 2017 SASOW'!J13</f>
        <v>49995051</v>
      </c>
      <c r="E117" s="1113">
        <f t="shared" si="38"/>
        <v>49995051</v>
      </c>
      <c r="F117" s="749">
        <f t="shared" si="48"/>
        <v>0.71479999999999999</v>
      </c>
      <c r="G117" s="749">
        <f t="shared" si="49"/>
        <v>0.28959999999999997</v>
      </c>
      <c r="H117" s="750">
        <v>501</v>
      </c>
      <c r="I117" s="1296">
        <f>C4</f>
        <v>424.26313389388866</v>
      </c>
      <c r="J117" s="1700">
        <f>$C$6</f>
        <v>12.031045626813224</v>
      </c>
      <c r="K117" s="751">
        <f t="shared" si="41"/>
        <v>23980.178809937162</v>
      </c>
      <c r="L117" s="751">
        <f>C117*J117*1000/1000+D117/1000</f>
        <v>87501.974384615402</v>
      </c>
      <c r="M117" s="752">
        <f>C117*J117*1000/1000+E117/1000</f>
        <v>87501.974384615402</v>
      </c>
      <c r="N117" s="749">
        <f t="shared" si="46"/>
        <v>0.19892488097366726</v>
      </c>
      <c r="O117" s="749">
        <f t="shared" si="46"/>
        <v>0.26585903447659598</v>
      </c>
      <c r="P117" s="749">
        <f t="shared" si="46"/>
        <v>8.9228108703258049E-2</v>
      </c>
      <c r="Q117" s="749">
        <f t="shared" si="46"/>
        <v>0</v>
      </c>
      <c r="R117" s="749">
        <f t="shared" si="46"/>
        <v>0</v>
      </c>
      <c r="S117" s="749">
        <f t="shared" si="46"/>
        <v>0</v>
      </c>
      <c r="T117" s="749">
        <f t="shared" si="46"/>
        <v>0.4459879758464787</v>
      </c>
      <c r="U117" s="753">
        <f t="shared" si="43"/>
        <v>1</v>
      </c>
      <c r="V117" s="749">
        <f t="shared" si="50"/>
        <v>0.29028184578274857</v>
      </c>
      <c r="W117" s="749">
        <f t="shared" si="50"/>
        <v>0.30317187715157518</v>
      </c>
      <c r="X117" s="749">
        <f t="shared" si="50"/>
        <v>8.2805443243048754E-2</v>
      </c>
      <c r="Y117" s="749">
        <f t="shared" si="50"/>
        <v>0</v>
      </c>
      <c r="Z117" s="749">
        <f t="shared" si="50"/>
        <v>0</v>
      </c>
      <c r="AA117" s="749">
        <f t="shared" si="50"/>
        <v>0</v>
      </c>
      <c r="AB117" s="749">
        <f t="shared" si="50"/>
        <v>0.32374083382262742</v>
      </c>
      <c r="AC117" s="753">
        <f t="shared" si="47"/>
        <v>0.99999999999999989</v>
      </c>
    </row>
    <row r="118" spans="1:29" ht="16.5" thickBot="1">
      <c r="A118" s="1698">
        <f t="shared" si="44"/>
        <v>2018</v>
      </c>
      <c r="B118" s="1701">
        <v>57.436000617299655</v>
      </c>
      <c r="C118" s="1701">
        <v>3154.0370052724184</v>
      </c>
      <c r="D118" s="1678">
        <v>50359792.847133137</v>
      </c>
      <c r="E118" s="1679">
        <f>D118</f>
        <v>50359792.847133137</v>
      </c>
      <c r="F118" s="1699"/>
      <c r="G118" s="1680"/>
      <c r="H118" s="1681"/>
      <c r="I118" s="1682">
        <f t="shared" ref="I118:I150" si="51">I117</f>
        <v>424.26313389388866</v>
      </c>
      <c r="J118" s="1683">
        <f>$C$6</f>
        <v>12.031045626813224</v>
      </c>
      <c r="K118" s="1678">
        <f>B118*I118</f>
        <v>24367.977620226877</v>
      </c>
      <c r="L118" s="1678">
        <f>C118*J118+D118/1000</f>
        <v>88306.155966222956</v>
      </c>
      <c r="M118" s="1684">
        <f>C118*J118*1000/1000+E118/1000</f>
        <v>88306.155966222956</v>
      </c>
      <c r="N118" s="1699">
        <f t="shared" si="46"/>
        <v>0.19892488097366726</v>
      </c>
      <c r="O118" s="1680">
        <f t="shared" si="46"/>
        <v>0.26585903447659598</v>
      </c>
      <c r="P118" s="1680">
        <f t="shared" si="46"/>
        <v>8.9228108703258049E-2</v>
      </c>
      <c r="Q118" s="1680">
        <f t="shared" si="46"/>
        <v>0</v>
      </c>
      <c r="R118" s="1680">
        <f t="shared" si="46"/>
        <v>0</v>
      </c>
      <c r="S118" s="1680">
        <f t="shared" si="46"/>
        <v>0</v>
      </c>
      <c r="T118" s="1680">
        <f t="shared" si="46"/>
        <v>0.4459879758464787</v>
      </c>
      <c r="U118" s="1685">
        <f t="shared" si="43"/>
        <v>1</v>
      </c>
      <c r="V118" s="1699">
        <f t="shared" si="50"/>
        <v>0.29028184578274857</v>
      </c>
      <c r="W118" s="1680">
        <f t="shared" si="50"/>
        <v>0.30317187715157518</v>
      </c>
      <c r="X118" s="1680">
        <f t="shared" si="50"/>
        <v>8.2805443243048754E-2</v>
      </c>
      <c r="Y118" s="1680">
        <f t="shared" si="50"/>
        <v>0</v>
      </c>
      <c r="Z118" s="1680">
        <f t="shared" si="50"/>
        <v>0</v>
      </c>
      <c r="AA118" s="1680">
        <f t="shared" si="50"/>
        <v>0</v>
      </c>
      <c r="AB118" s="1680">
        <f t="shared" si="50"/>
        <v>0.32374083382262742</v>
      </c>
      <c r="AC118" s="1685">
        <f t="shared" si="47"/>
        <v>0.99999999999999989</v>
      </c>
    </row>
    <row r="119" spans="1:29">
      <c r="A119" s="187">
        <f t="shared" si="44"/>
        <v>2019</v>
      </c>
      <c r="B119" s="1657">
        <f>INDEX(Drivers!$A$8:$AM$8,1,$A119-2011)/1000</f>
        <v>58.364834921819444</v>
      </c>
      <c r="C119" s="1662">
        <f>INDEX(Drivers!$A$16:$AM$16,1,$A119-2018)</f>
        <v>4454.6933079776372</v>
      </c>
      <c r="D119" s="1658">
        <f>INDEX(Drivers!$A$25:$AM$25,1,$A119-2018)/INDEX(Drivers!$A$25:$AM$25,1,$A119-2019)*D118</f>
        <v>53709279.804327965</v>
      </c>
      <c r="E119" s="762">
        <f t="shared" ref="E119:E150" si="52">D119</f>
        <v>53709279.804327965</v>
      </c>
      <c r="F119" s="1120"/>
      <c r="G119" s="1120"/>
      <c r="H119" s="1121"/>
      <c r="I119" s="1292">
        <f t="shared" si="51"/>
        <v>424.26313389388866</v>
      </c>
      <c r="J119" s="1293">
        <f t="shared" ref="J119:J150" si="53">$C$6</f>
        <v>12.031045626813224</v>
      </c>
      <c r="K119" s="1294">
        <f t="shared" si="41"/>
        <v>24762.047773130591</v>
      </c>
      <c r="L119" s="1294">
        <f t="shared" ref="L119:L150" si="54">C119*J119*1000/1000+D119/1000</f>
        <v>107303.89824606644</v>
      </c>
      <c r="M119" s="1295">
        <f t="shared" ref="M119:M150" si="55">C119*J119*1000/1000+E119/1000</f>
        <v>107303.89824606644</v>
      </c>
      <c r="N119" s="1249">
        <f t="shared" si="46"/>
        <v>0.19892488097366726</v>
      </c>
      <c r="O119" s="1249">
        <f t="shared" si="46"/>
        <v>0.26585903447659598</v>
      </c>
      <c r="P119" s="1249">
        <f t="shared" si="46"/>
        <v>8.9228108703258049E-2</v>
      </c>
      <c r="Q119" s="1249">
        <f t="shared" si="46"/>
        <v>0</v>
      </c>
      <c r="R119" s="1249">
        <f t="shared" si="46"/>
        <v>0</v>
      </c>
      <c r="S119" s="1249">
        <f t="shared" si="46"/>
        <v>0</v>
      </c>
      <c r="T119" s="1249">
        <f t="shared" si="46"/>
        <v>0.4459879758464787</v>
      </c>
      <c r="U119" s="1282">
        <f t="shared" si="43"/>
        <v>1</v>
      </c>
      <c r="V119" s="1283">
        <f t="shared" si="50"/>
        <v>0.29028184578274857</v>
      </c>
      <c r="W119" s="1249">
        <f t="shared" si="50"/>
        <v>0.30317187715157518</v>
      </c>
      <c r="X119" s="1249">
        <f t="shared" si="50"/>
        <v>8.2805443243048754E-2</v>
      </c>
      <c r="Y119" s="1249">
        <f t="shared" si="50"/>
        <v>0</v>
      </c>
      <c r="Z119" s="1249">
        <f t="shared" si="50"/>
        <v>0</v>
      </c>
      <c r="AA119" s="1249">
        <f t="shared" si="50"/>
        <v>0</v>
      </c>
      <c r="AB119" s="1249">
        <f t="shared" si="50"/>
        <v>0.32374083382262742</v>
      </c>
      <c r="AC119" s="1282">
        <f t="shared" si="47"/>
        <v>0.99999999999999989</v>
      </c>
    </row>
    <row r="120" spans="1:29">
      <c r="A120" s="187">
        <f t="shared" si="44"/>
        <v>2020</v>
      </c>
      <c r="B120" s="1657">
        <f>INDEX(Drivers!$A$8:$AM$8,1,$A120-2011)/1000</f>
        <v>59.308690000000006</v>
      </c>
      <c r="C120" s="1662">
        <f>INDEX(Drivers!$A$16:$AM$16,1,$A120-2018)</f>
        <v>4168.5687090306074</v>
      </c>
      <c r="D120" s="1658">
        <f>INDEX(Drivers!$A$25:$AM$25,1,$A120-2018)/INDEX(Drivers!$A$25:$AM$25,1,$A120-2019)*D119</f>
        <v>50685422.165534832</v>
      </c>
      <c r="E120" s="762">
        <f t="shared" si="52"/>
        <v>50685422.165534832</v>
      </c>
      <c r="F120" s="1120"/>
      <c r="G120" s="1120"/>
      <c r="H120" s="1121"/>
      <c r="I120" s="1292">
        <f t="shared" si="51"/>
        <v>424.26313389388866</v>
      </c>
      <c r="J120" s="1293">
        <f t="shared" si="53"/>
        <v>12.031045626813224</v>
      </c>
      <c r="K120" s="1294">
        <f t="shared" si="41"/>
        <v>25162.490686541139</v>
      </c>
      <c r="L120" s="1294">
        <f t="shared" si="54"/>
        <v>100837.66250238798</v>
      </c>
      <c r="M120" s="1295">
        <f t="shared" si="55"/>
        <v>100837.66250238798</v>
      </c>
      <c r="N120" s="1249">
        <f t="shared" si="46"/>
        <v>0.19892488097366726</v>
      </c>
      <c r="O120" s="1249">
        <f t="shared" si="46"/>
        <v>0.26585903447659598</v>
      </c>
      <c r="P120" s="1249">
        <f t="shared" si="46"/>
        <v>8.9228108703258049E-2</v>
      </c>
      <c r="Q120" s="1249">
        <f t="shared" si="46"/>
        <v>0</v>
      </c>
      <c r="R120" s="1249">
        <f t="shared" si="46"/>
        <v>0</v>
      </c>
      <c r="S120" s="1249">
        <f t="shared" si="46"/>
        <v>0</v>
      </c>
      <c r="T120" s="1249">
        <f t="shared" si="46"/>
        <v>0.4459879758464787</v>
      </c>
      <c r="U120" s="1282">
        <f t="shared" si="43"/>
        <v>1</v>
      </c>
      <c r="V120" s="1283">
        <f t="shared" si="50"/>
        <v>0.29028184578274857</v>
      </c>
      <c r="W120" s="1249">
        <f t="shared" si="50"/>
        <v>0.30317187715157518</v>
      </c>
      <c r="X120" s="1249">
        <f t="shared" si="50"/>
        <v>8.2805443243048754E-2</v>
      </c>
      <c r="Y120" s="1249">
        <f t="shared" si="50"/>
        <v>0</v>
      </c>
      <c r="Z120" s="1249">
        <f t="shared" si="50"/>
        <v>0</v>
      </c>
      <c r="AA120" s="1249">
        <f t="shared" si="50"/>
        <v>0</v>
      </c>
      <c r="AB120" s="1249">
        <f t="shared" si="50"/>
        <v>0.32374083382262742</v>
      </c>
      <c r="AC120" s="1282">
        <f t="shared" si="47"/>
        <v>0.99999999999999989</v>
      </c>
    </row>
    <row r="121" spans="1:29">
      <c r="A121" s="187">
        <f t="shared" si="44"/>
        <v>2021</v>
      </c>
      <c r="B121" s="1657">
        <f>INDEX(Drivers!$A$8:$AM$8,1,$A121-2011)/1000</f>
        <v>59.991580449204264</v>
      </c>
      <c r="C121" s="1662">
        <f>INDEX(Drivers!$A$16:$AM$16,1,$A121-2018)</f>
        <v>4297.0962474291</v>
      </c>
      <c r="D121" s="1658">
        <f>INDEX(Drivers!$A$25:$AM$25,1,$A121-2018)/INDEX(Drivers!$A$25:$AM$25,1,$A121-2019)*D120</f>
        <v>50618072.007836998</v>
      </c>
      <c r="E121" s="762">
        <f t="shared" si="52"/>
        <v>50618072.007836998</v>
      </c>
      <c r="F121" s="1120"/>
      <c r="G121" s="1120"/>
      <c r="H121" s="1121"/>
      <c r="I121" s="1292">
        <f t="shared" si="51"/>
        <v>424.26313389388866</v>
      </c>
      <c r="J121" s="1293">
        <f t="shared" si="53"/>
        <v>12.031045626813224</v>
      </c>
      <c r="K121" s="1294">
        <f t="shared" si="41"/>
        <v>25452.215928626742</v>
      </c>
      <c r="L121" s="1294">
        <f t="shared" si="54"/>
        <v>102316.63302346438</v>
      </c>
      <c r="M121" s="1295">
        <f t="shared" si="55"/>
        <v>102316.63302346438</v>
      </c>
      <c r="N121" s="1249">
        <f t="shared" si="46"/>
        <v>0.19892488097366726</v>
      </c>
      <c r="O121" s="1249">
        <f t="shared" si="46"/>
        <v>0.26585903447659598</v>
      </c>
      <c r="P121" s="1249">
        <f t="shared" si="46"/>
        <v>8.9228108703258049E-2</v>
      </c>
      <c r="Q121" s="1249">
        <f t="shared" si="46"/>
        <v>0</v>
      </c>
      <c r="R121" s="1249">
        <f t="shared" si="46"/>
        <v>0</v>
      </c>
      <c r="S121" s="1249">
        <f t="shared" si="46"/>
        <v>0</v>
      </c>
      <c r="T121" s="1249">
        <f t="shared" si="46"/>
        <v>0.4459879758464787</v>
      </c>
      <c r="U121" s="1282">
        <f t="shared" si="43"/>
        <v>1</v>
      </c>
      <c r="V121" s="1283">
        <f t="shared" si="50"/>
        <v>0.29028184578274857</v>
      </c>
      <c r="W121" s="1249">
        <f t="shared" si="50"/>
        <v>0.30317187715157518</v>
      </c>
      <c r="X121" s="1249">
        <f t="shared" si="50"/>
        <v>8.2805443243048754E-2</v>
      </c>
      <c r="Y121" s="1249">
        <f t="shared" si="50"/>
        <v>0</v>
      </c>
      <c r="Z121" s="1249">
        <f t="shared" si="50"/>
        <v>0</v>
      </c>
      <c r="AA121" s="1249">
        <f t="shared" si="50"/>
        <v>0</v>
      </c>
      <c r="AB121" s="1249">
        <f t="shared" si="50"/>
        <v>0.32374083382262742</v>
      </c>
      <c r="AC121" s="1282">
        <f t="shared" si="47"/>
        <v>0.99999999999999989</v>
      </c>
    </row>
    <row r="122" spans="1:29">
      <c r="A122" s="187">
        <f t="shared" si="44"/>
        <v>2022</v>
      </c>
      <c r="B122" s="1657">
        <f>INDEX(Drivers!$A$8:$AM$8,1,$A122-2011)/1000</f>
        <v>60.682333816399378</v>
      </c>
      <c r="C122" s="1662">
        <f>INDEX(Drivers!$A$16:$AM$16,1,$A122-2018)</f>
        <v>4398.6096135141943</v>
      </c>
      <c r="D122" s="1658">
        <f>INDEX(Drivers!$A$25:$AM$25,1,$A122-2018)/INDEX(Drivers!$A$25:$AM$25,1,$A122-2019)*D121</f>
        <v>50359792.847133137</v>
      </c>
      <c r="E122" s="762">
        <f t="shared" si="52"/>
        <v>50359792.847133137</v>
      </c>
      <c r="F122" s="1120"/>
      <c r="G122" s="1120"/>
      <c r="H122" s="1121"/>
      <c r="I122" s="1292">
        <f t="shared" si="51"/>
        <v>424.26313389388866</v>
      </c>
      <c r="J122" s="1293">
        <f t="shared" si="53"/>
        <v>12.031045626813224</v>
      </c>
      <c r="K122" s="1294">
        <f t="shared" si="41"/>
        <v>25745.277116940699</v>
      </c>
      <c r="L122" s="1294">
        <f t="shared" si="54"/>
        <v>103279.6658018617</v>
      </c>
      <c r="M122" s="1295">
        <f t="shared" si="55"/>
        <v>103279.6658018617</v>
      </c>
      <c r="N122" s="1249">
        <f t="shared" si="46"/>
        <v>0.19892488097366726</v>
      </c>
      <c r="O122" s="1249">
        <f t="shared" si="46"/>
        <v>0.26585903447659598</v>
      </c>
      <c r="P122" s="1249">
        <f t="shared" si="46"/>
        <v>8.9228108703258049E-2</v>
      </c>
      <c r="Q122" s="1249">
        <f t="shared" si="46"/>
        <v>0</v>
      </c>
      <c r="R122" s="1249">
        <f t="shared" si="46"/>
        <v>0</v>
      </c>
      <c r="S122" s="1249">
        <f t="shared" si="46"/>
        <v>0</v>
      </c>
      <c r="T122" s="1249">
        <f t="shared" si="46"/>
        <v>0.4459879758464787</v>
      </c>
      <c r="U122" s="1282">
        <f t="shared" si="43"/>
        <v>1</v>
      </c>
      <c r="V122" s="1283">
        <f t="shared" si="50"/>
        <v>0.29028184578274857</v>
      </c>
      <c r="W122" s="1249">
        <f t="shared" si="50"/>
        <v>0.30317187715157518</v>
      </c>
      <c r="X122" s="1249">
        <f t="shared" si="50"/>
        <v>8.2805443243048754E-2</v>
      </c>
      <c r="Y122" s="1249">
        <f t="shared" si="50"/>
        <v>0</v>
      </c>
      <c r="Z122" s="1249">
        <f t="shared" si="50"/>
        <v>0</v>
      </c>
      <c r="AA122" s="1249">
        <f t="shared" si="50"/>
        <v>0</v>
      </c>
      <c r="AB122" s="1249">
        <f t="shared" si="50"/>
        <v>0.32374083382262742</v>
      </c>
      <c r="AC122" s="1282">
        <f t="shared" si="47"/>
        <v>0.99999999999999989</v>
      </c>
    </row>
    <row r="123" spans="1:29">
      <c r="A123" s="187">
        <f t="shared" si="44"/>
        <v>2023</v>
      </c>
      <c r="B123" s="1657">
        <f>INDEX(Drivers!$A$8:$AM$8,1,$A123-2011)/1000</f>
        <v>61.381040636574369</v>
      </c>
      <c r="C123" s="1662">
        <f>INDEX(Drivers!$A$16:$AM$16,1,$A123-2018)</f>
        <v>4491.3837914672167</v>
      </c>
      <c r="D123" s="1658">
        <f>INDEX(Drivers!$A$25:$AM$25,1,$A123-2018)/INDEX(Drivers!$A$25:$AM$25,1,$A123-2019)*D122</f>
        <v>49695564.714711666</v>
      </c>
      <c r="E123" s="762">
        <f t="shared" si="52"/>
        <v>49695564.714711666</v>
      </c>
      <c r="F123" s="1120"/>
      <c r="G123" s="1120"/>
      <c r="H123" s="1121"/>
      <c r="I123" s="1292">
        <f t="shared" si="51"/>
        <v>424.26313389388866</v>
      </c>
      <c r="J123" s="1293">
        <f t="shared" si="53"/>
        <v>12.031045626813224</v>
      </c>
      <c r="K123" s="1294">
        <f t="shared" si="41"/>
        <v>26041.712662141173</v>
      </c>
      <c r="L123" s="1294">
        <f t="shared" si="54"/>
        <v>103731.60803738312</v>
      </c>
      <c r="M123" s="1295">
        <f t="shared" si="55"/>
        <v>103731.60803738312</v>
      </c>
      <c r="N123" s="1249">
        <f t="shared" si="46"/>
        <v>0.19892488097366726</v>
      </c>
      <c r="O123" s="1249">
        <f t="shared" si="46"/>
        <v>0.26585903447659598</v>
      </c>
      <c r="P123" s="1249">
        <f t="shared" si="46"/>
        <v>8.9228108703258049E-2</v>
      </c>
      <c r="Q123" s="1249">
        <f t="shared" si="46"/>
        <v>0</v>
      </c>
      <c r="R123" s="1249">
        <f t="shared" si="46"/>
        <v>0</v>
      </c>
      <c r="S123" s="1249">
        <f t="shared" si="46"/>
        <v>0</v>
      </c>
      <c r="T123" s="1249">
        <f t="shared" si="46"/>
        <v>0.4459879758464787</v>
      </c>
      <c r="U123" s="1282">
        <f t="shared" si="43"/>
        <v>1</v>
      </c>
      <c r="V123" s="1283">
        <f t="shared" si="50"/>
        <v>0.29028184578274857</v>
      </c>
      <c r="W123" s="1249">
        <f t="shared" si="50"/>
        <v>0.30317187715157518</v>
      </c>
      <c r="X123" s="1249">
        <f t="shared" si="50"/>
        <v>8.2805443243048754E-2</v>
      </c>
      <c r="Y123" s="1249">
        <f t="shared" si="50"/>
        <v>0</v>
      </c>
      <c r="Z123" s="1249">
        <f t="shared" si="50"/>
        <v>0</v>
      </c>
      <c r="AA123" s="1249">
        <f t="shared" si="50"/>
        <v>0</v>
      </c>
      <c r="AB123" s="1249">
        <f t="shared" si="50"/>
        <v>0.32374083382262742</v>
      </c>
      <c r="AC123" s="1282">
        <f t="shared" si="47"/>
        <v>0.99999999999999989</v>
      </c>
    </row>
    <row r="124" spans="1:29">
      <c r="A124" s="187">
        <f t="shared" si="44"/>
        <v>2024</v>
      </c>
      <c r="B124" s="1657">
        <f>INDEX(Drivers!$A$8:$AM$8,1,$A124-2011)/1000</f>
        <v>62.087792487153699</v>
      </c>
      <c r="C124" s="1662">
        <f>INDEX(Drivers!$A$16:$AM$16,1,$A124-2018)</f>
        <v>4591.0468432418256</v>
      </c>
      <c r="D124" s="1658">
        <f>INDEX(Drivers!$A$25:$AM$25,1,$A124-2018)/INDEX(Drivers!$A$25:$AM$25,1,$A124-2019)*D123</f>
        <v>49925010.483280979</v>
      </c>
      <c r="E124" s="762">
        <f t="shared" si="52"/>
        <v>49925010.483280979</v>
      </c>
      <c r="F124" s="1120"/>
      <c r="G124" s="1120"/>
      <c r="H124" s="1121"/>
      <c r="I124" s="1292">
        <f t="shared" si="51"/>
        <v>424.26313389388866</v>
      </c>
      <c r="J124" s="1293">
        <f t="shared" si="53"/>
        <v>12.031045626813224</v>
      </c>
      <c r="K124" s="1294">
        <f t="shared" si="41"/>
        <v>26341.561417153265</v>
      </c>
      <c r="L124" s="1294">
        <f t="shared" si="54"/>
        <v>105160.10452916021</v>
      </c>
      <c r="M124" s="1295">
        <f t="shared" si="55"/>
        <v>105160.10452916021</v>
      </c>
      <c r="N124" s="1249">
        <f t="shared" si="46"/>
        <v>0.19892488097366726</v>
      </c>
      <c r="O124" s="1249">
        <f t="shared" si="46"/>
        <v>0.26585903447659598</v>
      </c>
      <c r="P124" s="1249">
        <f t="shared" si="46"/>
        <v>8.9228108703258049E-2</v>
      </c>
      <c r="Q124" s="1249">
        <f t="shared" si="46"/>
        <v>0</v>
      </c>
      <c r="R124" s="1249">
        <f t="shared" si="46"/>
        <v>0</v>
      </c>
      <c r="S124" s="1249">
        <f t="shared" si="46"/>
        <v>0</v>
      </c>
      <c r="T124" s="1249">
        <f t="shared" si="46"/>
        <v>0.4459879758464787</v>
      </c>
      <c r="U124" s="1282">
        <f t="shared" si="43"/>
        <v>1</v>
      </c>
      <c r="V124" s="1283">
        <f t="shared" si="50"/>
        <v>0.29028184578274857</v>
      </c>
      <c r="W124" s="1249">
        <f t="shared" si="50"/>
        <v>0.30317187715157518</v>
      </c>
      <c r="X124" s="1249">
        <f t="shared" si="50"/>
        <v>8.2805443243048754E-2</v>
      </c>
      <c r="Y124" s="1249">
        <f t="shared" si="50"/>
        <v>0</v>
      </c>
      <c r="Z124" s="1249">
        <f t="shared" si="50"/>
        <v>0</v>
      </c>
      <c r="AA124" s="1249">
        <f t="shared" si="50"/>
        <v>0</v>
      </c>
      <c r="AB124" s="1249">
        <f t="shared" si="50"/>
        <v>0.32374083382262742</v>
      </c>
      <c r="AC124" s="1282">
        <f t="shared" si="47"/>
        <v>0.99999999999999989</v>
      </c>
    </row>
    <row r="125" spans="1:29">
      <c r="A125" s="187">
        <f t="shared" si="44"/>
        <v>2025</v>
      </c>
      <c r="B125" s="1657">
        <f>INDEX(Drivers!$A$8:$AM$8,1,$A125-2011)/1000</f>
        <v>62.802682000000026</v>
      </c>
      <c r="C125" s="1662">
        <f>INDEX(Drivers!$A$16:$AM$16,1,$A125-2018)</f>
        <v>4678.7390647078637</v>
      </c>
      <c r="D125" s="1658">
        <f>INDEX(Drivers!$A$25:$AM$25,1,$A125-2018)/INDEX(Drivers!$A$25:$AM$25,1,$A125-2019)*D124</f>
        <v>50358140.956147172</v>
      </c>
      <c r="E125" s="762">
        <f t="shared" si="52"/>
        <v>50358140.956147172</v>
      </c>
      <c r="F125" s="1120"/>
      <c r="G125" s="1120"/>
      <c r="H125" s="1121"/>
      <c r="I125" s="1292">
        <f t="shared" si="51"/>
        <v>424.26313389388866</v>
      </c>
      <c r="J125" s="1293">
        <f t="shared" si="53"/>
        <v>12.031045626813224</v>
      </c>
      <c r="K125" s="1294">
        <f t="shared" si="41"/>
        <v>26644.862682261322</v>
      </c>
      <c r="L125" s="1294">
        <f t="shared" si="54"/>
        <v>106648.26411960091</v>
      </c>
      <c r="M125" s="1295">
        <f t="shared" si="55"/>
        <v>106648.26411960091</v>
      </c>
      <c r="N125" s="1249">
        <f t="shared" si="46"/>
        <v>0.19892488097366726</v>
      </c>
      <c r="O125" s="1249">
        <f t="shared" si="46"/>
        <v>0.26585903447659598</v>
      </c>
      <c r="P125" s="1249">
        <f t="shared" si="46"/>
        <v>8.9228108703258049E-2</v>
      </c>
      <c r="Q125" s="1249">
        <f t="shared" si="46"/>
        <v>0</v>
      </c>
      <c r="R125" s="1249">
        <f t="shared" si="46"/>
        <v>0</v>
      </c>
      <c r="S125" s="1249">
        <f t="shared" si="46"/>
        <v>0</v>
      </c>
      <c r="T125" s="1249">
        <f t="shared" si="46"/>
        <v>0.4459879758464787</v>
      </c>
      <c r="U125" s="1282">
        <f t="shared" si="43"/>
        <v>1</v>
      </c>
      <c r="V125" s="1283">
        <f t="shared" si="50"/>
        <v>0.29028184578274857</v>
      </c>
      <c r="W125" s="1249">
        <f t="shared" si="50"/>
        <v>0.30317187715157518</v>
      </c>
      <c r="X125" s="1249">
        <f t="shared" si="50"/>
        <v>8.2805443243048754E-2</v>
      </c>
      <c r="Y125" s="1249">
        <f t="shared" si="50"/>
        <v>0</v>
      </c>
      <c r="Z125" s="1249">
        <f t="shared" si="50"/>
        <v>0</v>
      </c>
      <c r="AA125" s="1249">
        <f t="shared" si="50"/>
        <v>0</v>
      </c>
      <c r="AB125" s="1249">
        <f t="shared" si="50"/>
        <v>0.32374083382262742</v>
      </c>
      <c r="AC125" s="1282">
        <f t="shared" si="47"/>
        <v>0.99999999999999989</v>
      </c>
    </row>
    <row r="126" spans="1:29">
      <c r="A126" s="187">
        <f t="shared" si="44"/>
        <v>2026</v>
      </c>
      <c r="B126" s="1657">
        <f>INDEX(Drivers!$A$8:$AM$8,1,$A126-2011)/1000</f>
        <v>63.421065342005143</v>
      </c>
      <c r="C126" s="1662">
        <f>INDEX(Drivers!$A$16:$AM$16,1,$A126-2018)</f>
        <v>4759.3318943865906</v>
      </c>
      <c r="D126" s="1658">
        <f>INDEX(Drivers!$A$25:$AM$25,1,$A126-2018)/INDEX(Drivers!$A$25:$AM$25,1,$A126-2019)*D125</f>
        <v>48568999.176537097</v>
      </c>
      <c r="E126" s="762">
        <f t="shared" si="52"/>
        <v>48568999.176537097</v>
      </c>
      <c r="F126" s="1120"/>
      <c r="G126" s="1120"/>
      <c r="H126" s="1121"/>
      <c r="I126" s="1292">
        <f t="shared" si="51"/>
        <v>424.26313389388866</v>
      </c>
      <c r="J126" s="1293">
        <f t="shared" si="53"/>
        <v>12.031045626813224</v>
      </c>
      <c r="K126" s="1294">
        <f t="shared" si="41"/>
        <v>26907.219936888188</v>
      </c>
      <c r="L126" s="1294">
        <f t="shared" si="54"/>
        <v>105828.73835104959</v>
      </c>
      <c r="M126" s="1295">
        <f t="shared" si="55"/>
        <v>105828.73835104959</v>
      </c>
      <c r="N126" s="1249">
        <f t="shared" si="46"/>
        <v>0.19892488097366726</v>
      </c>
      <c r="O126" s="1249">
        <f t="shared" si="46"/>
        <v>0.26585903447659598</v>
      </c>
      <c r="P126" s="1249">
        <f t="shared" si="46"/>
        <v>8.9228108703258049E-2</v>
      </c>
      <c r="Q126" s="1249">
        <f t="shared" si="46"/>
        <v>0</v>
      </c>
      <c r="R126" s="1249">
        <f t="shared" si="46"/>
        <v>0</v>
      </c>
      <c r="S126" s="1249">
        <f t="shared" si="46"/>
        <v>0</v>
      </c>
      <c r="T126" s="1249">
        <f t="shared" si="46"/>
        <v>0.4459879758464787</v>
      </c>
      <c r="U126" s="1282">
        <f t="shared" si="43"/>
        <v>1</v>
      </c>
      <c r="V126" s="1283">
        <f t="shared" si="50"/>
        <v>0.29028184578274857</v>
      </c>
      <c r="W126" s="1249">
        <f t="shared" si="50"/>
        <v>0.30317187715157518</v>
      </c>
      <c r="X126" s="1249">
        <f t="shared" si="50"/>
        <v>8.2805443243048754E-2</v>
      </c>
      <c r="Y126" s="1249">
        <f t="shared" si="50"/>
        <v>0</v>
      </c>
      <c r="Z126" s="1249">
        <f t="shared" si="50"/>
        <v>0</v>
      </c>
      <c r="AA126" s="1249">
        <f t="shared" si="50"/>
        <v>0</v>
      </c>
      <c r="AB126" s="1249">
        <f t="shared" si="50"/>
        <v>0.32374083382262742</v>
      </c>
      <c r="AC126" s="1282">
        <f t="shared" si="47"/>
        <v>0.99999999999999989</v>
      </c>
    </row>
    <row r="127" spans="1:29">
      <c r="A127" s="187">
        <f t="shared" si="44"/>
        <v>2027</v>
      </c>
      <c r="B127" s="1657">
        <f>INDEX(Drivers!$A$8:$AM$8,1,$A127-2011)/1000</f>
        <v>64.045537563425796</v>
      </c>
      <c r="C127" s="1662">
        <f>INDEX(Drivers!$A$16:$AM$16,1,$A127-2018)</f>
        <v>4833.4252769493587</v>
      </c>
      <c r="D127" s="1658">
        <f>INDEX(Drivers!$A$25:$AM$25,1,$A127-2018)/INDEX(Drivers!$A$25:$AM$25,1,$A127-2019)*D126</f>
        <v>48190122.249078177</v>
      </c>
      <c r="E127" s="762">
        <f t="shared" si="52"/>
        <v>48190122.249078177</v>
      </c>
      <c r="F127" s="1120"/>
      <c r="G127" s="1120"/>
      <c r="H127" s="1121"/>
      <c r="I127" s="1292">
        <f t="shared" si="51"/>
        <v>424.26313389388866</v>
      </c>
      <c r="J127" s="1293">
        <f t="shared" si="53"/>
        <v>12.031045626813224</v>
      </c>
      <c r="K127" s="1294">
        <f t="shared" si="41"/>
        <v>27172.160478577796</v>
      </c>
      <c r="L127" s="1294">
        <f t="shared" si="54"/>
        <v>106341.28228984826</v>
      </c>
      <c r="M127" s="1295">
        <f t="shared" si="55"/>
        <v>106341.28228984826</v>
      </c>
      <c r="N127" s="1249">
        <f t="shared" si="46"/>
        <v>0.19892488097366726</v>
      </c>
      <c r="O127" s="1249">
        <f t="shared" si="46"/>
        <v>0.26585903447659598</v>
      </c>
      <c r="P127" s="1249">
        <f t="shared" si="46"/>
        <v>8.9228108703258049E-2</v>
      </c>
      <c r="Q127" s="1249">
        <f t="shared" si="46"/>
        <v>0</v>
      </c>
      <c r="R127" s="1249">
        <f t="shared" si="46"/>
        <v>0</v>
      </c>
      <c r="S127" s="1249">
        <f t="shared" si="46"/>
        <v>0</v>
      </c>
      <c r="T127" s="1249">
        <f t="shared" si="46"/>
        <v>0.4459879758464787</v>
      </c>
      <c r="U127" s="1282">
        <f t="shared" si="43"/>
        <v>1</v>
      </c>
      <c r="V127" s="1283">
        <f t="shared" si="50"/>
        <v>0.29028184578274857</v>
      </c>
      <c r="W127" s="1249">
        <f t="shared" si="50"/>
        <v>0.30317187715157518</v>
      </c>
      <c r="X127" s="1249">
        <f t="shared" si="50"/>
        <v>8.2805443243048754E-2</v>
      </c>
      <c r="Y127" s="1249">
        <f t="shared" si="50"/>
        <v>0</v>
      </c>
      <c r="Z127" s="1249">
        <f t="shared" si="50"/>
        <v>0</v>
      </c>
      <c r="AA127" s="1249">
        <f t="shared" si="50"/>
        <v>0</v>
      </c>
      <c r="AB127" s="1249">
        <f t="shared" si="50"/>
        <v>0.32374083382262742</v>
      </c>
      <c r="AC127" s="1282">
        <f t="shared" si="47"/>
        <v>0.99999999999999989</v>
      </c>
    </row>
    <row r="128" spans="1:29">
      <c r="A128" s="187">
        <f t="shared" ref="A128:A150" si="56">A127+1</f>
        <v>2028</v>
      </c>
      <c r="B128" s="1657">
        <f>INDEX(Drivers!$A$8:$AM$8,1,$A128-2011)/1000</f>
        <v>64.676158618096451</v>
      </c>
      <c r="C128" s="1662">
        <f>INDEX(Drivers!$A$16:$AM$16,1,$A128-2018)</f>
        <v>4919.2292537742524</v>
      </c>
      <c r="D128" s="1658">
        <f>INDEX(Drivers!$A$25:$AM$25,1,$A128-2018)/INDEX(Drivers!$A$25:$AM$25,1,$A128-2019)*D127</f>
        <v>48438037.819118328</v>
      </c>
      <c r="E128" s="762">
        <f t="shared" si="52"/>
        <v>48438037.819118328</v>
      </c>
      <c r="F128" s="1120"/>
      <c r="G128" s="1120"/>
      <c r="H128" s="1121"/>
      <c r="I128" s="1292">
        <f t="shared" si="51"/>
        <v>424.26313389388866</v>
      </c>
      <c r="J128" s="1293">
        <f t="shared" si="53"/>
        <v>12.031045626813224</v>
      </c>
      <c r="K128" s="1294">
        <f t="shared" si="41"/>
        <v>27439.709743531836</v>
      </c>
      <c r="L128" s="1294">
        <f t="shared" si="54"/>
        <v>107621.50942003072</v>
      </c>
      <c r="M128" s="1295">
        <f t="shared" si="55"/>
        <v>107621.50942003072</v>
      </c>
      <c r="N128" s="1249">
        <f t="shared" si="46"/>
        <v>0.19892488097366726</v>
      </c>
      <c r="O128" s="1249">
        <f t="shared" si="46"/>
        <v>0.26585903447659598</v>
      </c>
      <c r="P128" s="1249">
        <f t="shared" si="46"/>
        <v>8.9228108703258049E-2</v>
      </c>
      <c r="Q128" s="1249">
        <f t="shared" si="46"/>
        <v>0</v>
      </c>
      <c r="R128" s="1249">
        <f t="shared" si="46"/>
        <v>0</v>
      </c>
      <c r="S128" s="1249">
        <f t="shared" si="46"/>
        <v>0</v>
      </c>
      <c r="T128" s="1249">
        <f t="shared" si="46"/>
        <v>0.4459879758464787</v>
      </c>
      <c r="U128" s="1282">
        <f t="shared" si="43"/>
        <v>1</v>
      </c>
      <c r="V128" s="1283">
        <f t="shared" si="50"/>
        <v>0.29028184578274857</v>
      </c>
      <c r="W128" s="1249">
        <f t="shared" si="50"/>
        <v>0.30317187715157518</v>
      </c>
      <c r="X128" s="1249">
        <f t="shared" si="50"/>
        <v>8.2805443243048754E-2</v>
      </c>
      <c r="Y128" s="1249">
        <f t="shared" si="50"/>
        <v>0</v>
      </c>
      <c r="Z128" s="1249">
        <f t="shared" si="50"/>
        <v>0</v>
      </c>
      <c r="AA128" s="1249">
        <f t="shared" si="50"/>
        <v>0</v>
      </c>
      <c r="AB128" s="1249">
        <f t="shared" si="50"/>
        <v>0.32374083382262742</v>
      </c>
      <c r="AC128" s="1282">
        <f t="shared" si="47"/>
        <v>0.99999999999999989</v>
      </c>
    </row>
    <row r="129" spans="1:29">
      <c r="A129" s="187">
        <f t="shared" si="56"/>
        <v>2029</v>
      </c>
      <c r="B129" s="1657">
        <f>INDEX(Drivers!$A$8:$AM$8,1,$A129-2011)/1000</f>
        <v>65.31298905018393</v>
      </c>
      <c r="C129" s="1662">
        <f>INDEX(Drivers!$A$16:$AM$16,1,$A129-2018)</f>
        <v>5028.6283675846353</v>
      </c>
      <c r="D129" s="1658">
        <f>INDEX(Drivers!$A$25:$AM$25,1,$A129-2018)/INDEX(Drivers!$A$25:$AM$25,1,$A129-2019)*D128</f>
        <v>47172284.942566738</v>
      </c>
      <c r="E129" s="762">
        <f t="shared" si="52"/>
        <v>47172284.942566738</v>
      </c>
      <c r="F129" s="1120"/>
      <c r="G129" s="1120"/>
      <c r="H129" s="1121"/>
      <c r="I129" s="1292">
        <f t="shared" si="51"/>
        <v>424.26313389388866</v>
      </c>
      <c r="J129" s="1293">
        <f t="shared" si="53"/>
        <v>12.031045626813224</v>
      </c>
      <c r="K129" s="1294">
        <f t="shared" si="41"/>
        <v>27709.893418408268</v>
      </c>
      <c r="L129" s="1294">
        <f t="shared" si="54"/>
        <v>107671.94227326478</v>
      </c>
      <c r="M129" s="1295">
        <f t="shared" si="55"/>
        <v>107671.94227326478</v>
      </c>
      <c r="N129" s="1249">
        <f t="shared" si="46"/>
        <v>0.19892488097366726</v>
      </c>
      <c r="O129" s="1249">
        <f t="shared" si="46"/>
        <v>0.26585903447659598</v>
      </c>
      <c r="P129" s="1249">
        <f t="shared" si="46"/>
        <v>8.9228108703258049E-2</v>
      </c>
      <c r="Q129" s="1249">
        <f t="shared" si="46"/>
        <v>0</v>
      </c>
      <c r="R129" s="1249">
        <f t="shared" si="46"/>
        <v>0</v>
      </c>
      <c r="S129" s="1249">
        <f t="shared" si="46"/>
        <v>0</v>
      </c>
      <c r="T129" s="1249">
        <f t="shared" si="46"/>
        <v>0.4459879758464787</v>
      </c>
      <c r="U129" s="1282">
        <f t="shared" si="43"/>
        <v>1</v>
      </c>
      <c r="V129" s="1283">
        <f t="shared" si="50"/>
        <v>0.29028184578274857</v>
      </c>
      <c r="W129" s="1249">
        <f t="shared" si="50"/>
        <v>0.30317187715157518</v>
      </c>
      <c r="X129" s="1249">
        <f t="shared" si="50"/>
        <v>8.2805443243048754E-2</v>
      </c>
      <c r="Y129" s="1249">
        <f t="shared" si="50"/>
        <v>0</v>
      </c>
      <c r="Z129" s="1249">
        <f t="shared" si="50"/>
        <v>0</v>
      </c>
      <c r="AA129" s="1249">
        <f t="shared" si="50"/>
        <v>0</v>
      </c>
      <c r="AB129" s="1249">
        <f t="shared" si="50"/>
        <v>0.32374083382262742</v>
      </c>
      <c r="AC129" s="1282">
        <f t="shared" si="47"/>
        <v>0.99999999999999989</v>
      </c>
    </row>
    <row r="130" spans="1:29">
      <c r="A130" s="187">
        <f t="shared" si="56"/>
        <v>2030</v>
      </c>
      <c r="B130" s="1657">
        <f>INDEX(Drivers!$A$8:$AM$8,1,$A130-2011)/1000</f>
        <v>65.956090000000003</v>
      </c>
      <c r="C130" s="1662">
        <f>INDEX(Drivers!$A$16:$AM$16,1,$A130-2018)</f>
        <v>5124.9200809700387</v>
      </c>
      <c r="D130" s="1658">
        <f>INDEX(Drivers!$A$25:$AM$25,1,$A130-2018)/INDEX(Drivers!$A$25:$AM$25,1,$A130-2019)*D129</f>
        <v>46124498.893218428</v>
      </c>
      <c r="E130" s="762">
        <f t="shared" si="52"/>
        <v>46124498.893218428</v>
      </c>
      <c r="F130" s="1120"/>
      <c r="G130" s="1120"/>
      <c r="H130" s="1121"/>
      <c r="I130" s="1292">
        <f t="shared" si="51"/>
        <v>424.26313389388866</v>
      </c>
      <c r="J130" s="1293">
        <f t="shared" si="53"/>
        <v>12.031045626813224</v>
      </c>
      <c r="K130" s="1294">
        <f t="shared" si="41"/>
        <v>27982.737442787373</v>
      </c>
      <c r="L130" s="1294">
        <f t="shared" si="54"/>
        <v>107782.64622114028</v>
      </c>
      <c r="M130" s="1295">
        <f t="shared" si="55"/>
        <v>107782.64622114028</v>
      </c>
      <c r="N130" s="1249">
        <f t="shared" si="46"/>
        <v>0.19892488097366726</v>
      </c>
      <c r="O130" s="1249">
        <f t="shared" si="46"/>
        <v>0.26585903447659598</v>
      </c>
      <c r="P130" s="1249">
        <f t="shared" si="46"/>
        <v>8.9228108703258049E-2</v>
      </c>
      <c r="Q130" s="1249">
        <f t="shared" si="46"/>
        <v>0</v>
      </c>
      <c r="R130" s="1249">
        <f t="shared" si="46"/>
        <v>0</v>
      </c>
      <c r="S130" s="1249">
        <f t="shared" si="46"/>
        <v>0</v>
      </c>
      <c r="T130" s="1249">
        <f t="shared" si="46"/>
        <v>0.4459879758464787</v>
      </c>
      <c r="U130" s="1282">
        <f t="shared" si="43"/>
        <v>1</v>
      </c>
      <c r="V130" s="1283">
        <f t="shared" si="50"/>
        <v>0.29028184578274857</v>
      </c>
      <c r="W130" s="1249">
        <f t="shared" si="50"/>
        <v>0.30317187715157518</v>
      </c>
      <c r="X130" s="1249">
        <f t="shared" si="50"/>
        <v>8.2805443243048754E-2</v>
      </c>
      <c r="Y130" s="1249">
        <f t="shared" si="50"/>
        <v>0</v>
      </c>
      <c r="Z130" s="1249">
        <f t="shared" si="50"/>
        <v>0</v>
      </c>
      <c r="AA130" s="1249">
        <f t="shared" si="50"/>
        <v>0</v>
      </c>
      <c r="AB130" s="1249">
        <f t="shared" si="50"/>
        <v>0.32374083382262742</v>
      </c>
      <c r="AC130" s="1282">
        <f t="shared" si="47"/>
        <v>0.99999999999999989</v>
      </c>
    </row>
    <row r="131" spans="1:29">
      <c r="A131" s="187">
        <f t="shared" si="56"/>
        <v>2031</v>
      </c>
      <c r="B131" s="1657">
        <f>INDEX(Drivers!$A$8:$AM$8,1,$A131-2011)/1000</f>
        <v>66.518977190687664</v>
      </c>
      <c r="C131" s="1662">
        <f>INDEX(Drivers!$A$16:$AM$16,1,$A131-2018)</f>
        <v>5062.3234119259168</v>
      </c>
      <c r="D131" s="1658">
        <f>INDEX(Drivers!$A$25:$AM$25,1,$A131-2018)/INDEX(Drivers!$A$25:$AM$25,1,$A131-2019)*D130</f>
        <v>43997076.132191785</v>
      </c>
      <c r="E131" s="762">
        <f t="shared" si="52"/>
        <v>43997076.132191785</v>
      </c>
      <c r="F131" s="1120"/>
      <c r="G131" s="1120"/>
      <c r="H131" s="1121"/>
      <c r="I131" s="1292">
        <f t="shared" si="51"/>
        <v>424.26313389388866</v>
      </c>
      <c r="J131" s="1293">
        <f t="shared" si="53"/>
        <v>12.031045626813224</v>
      </c>
      <c r="K131" s="1294">
        <f t="shared" si="41"/>
        <v>28221.549726337245</v>
      </c>
      <c r="L131" s="1294">
        <f t="shared" si="54"/>
        <v>104902.12007875729</v>
      </c>
      <c r="M131" s="1295">
        <f t="shared" si="55"/>
        <v>104902.12007875729</v>
      </c>
      <c r="N131" s="1249">
        <f t="shared" ref="N131:T146" si="57">N130</f>
        <v>0.19892488097366726</v>
      </c>
      <c r="O131" s="1249">
        <f t="shared" si="57"/>
        <v>0.26585903447659598</v>
      </c>
      <c r="P131" s="1249">
        <f t="shared" si="57"/>
        <v>8.9228108703258049E-2</v>
      </c>
      <c r="Q131" s="1249">
        <f t="shared" si="57"/>
        <v>0</v>
      </c>
      <c r="R131" s="1249">
        <f t="shared" si="57"/>
        <v>0</v>
      </c>
      <c r="S131" s="1249">
        <f t="shared" si="57"/>
        <v>0</v>
      </c>
      <c r="T131" s="1249">
        <f t="shared" si="57"/>
        <v>0.4459879758464787</v>
      </c>
      <c r="U131" s="1282">
        <f t="shared" si="43"/>
        <v>1</v>
      </c>
      <c r="V131" s="1283">
        <f t="shared" si="50"/>
        <v>0.29028184578274857</v>
      </c>
      <c r="W131" s="1249">
        <f t="shared" si="50"/>
        <v>0.30317187715157518</v>
      </c>
      <c r="X131" s="1249">
        <f t="shared" si="50"/>
        <v>8.2805443243048754E-2</v>
      </c>
      <c r="Y131" s="1249">
        <f t="shared" si="50"/>
        <v>0</v>
      </c>
      <c r="Z131" s="1249">
        <f t="shared" si="50"/>
        <v>0</v>
      </c>
      <c r="AA131" s="1249">
        <f t="shared" si="50"/>
        <v>0</v>
      </c>
      <c r="AB131" s="1249">
        <f t="shared" si="50"/>
        <v>0.32374083382262742</v>
      </c>
      <c r="AC131" s="1282">
        <f t="shared" si="47"/>
        <v>0.99999999999999989</v>
      </c>
    </row>
    <row r="132" spans="1:29">
      <c r="A132" s="187">
        <f t="shared" si="56"/>
        <v>2032</v>
      </c>
      <c r="B132" s="1657">
        <f>INDEX(Drivers!$A$8:$AM$8,1,$A132-2011)/1000</f>
        <v>67.08666821358311</v>
      </c>
      <c r="C132" s="1662">
        <f>INDEX(Drivers!$A$16:$AM$16,1,$A132-2018)</f>
        <v>5235.9881649481622</v>
      </c>
      <c r="D132" s="1658">
        <f>INDEX(Drivers!$A$25:$AM$25,1,$A132-2018)/INDEX(Drivers!$A$25:$AM$25,1,$A132-2019)*D131</f>
        <v>43370376.757557131</v>
      </c>
      <c r="E132" s="762">
        <f t="shared" si="52"/>
        <v>43370376.757557131</v>
      </c>
      <c r="F132" s="1120"/>
      <c r="G132" s="1120"/>
      <c r="H132" s="1121"/>
      <c r="I132" s="1292">
        <f t="shared" si="51"/>
        <v>424.26313389388866</v>
      </c>
      <c r="J132" s="1293">
        <f t="shared" si="53"/>
        <v>12.031045626813224</v>
      </c>
      <c r="K132" s="1294">
        <f t="shared" si="41"/>
        <v>28462.400098794296</v>
      </c>
      <c r="L132" s="1294">
        <f t="shared" si="54"/>
        <v>106364.78927150252</v>
      </c>
      <c r="M132" s="1295">
        <f t="shared" si="55"/>
        <v>106364.78927150252</v>
      </c>
      <c r="N132" s="1249">
        <f t="shared" si="57"/>
        <v>0.19892488097366726</v>
      </c>
      <c r="O132" s="1249">
        <f t="shared" si="57"/>
        <v>0.26585903447659598</v>
      </c>
      <c r="P132" s="1249">
        <f t="shared" si="57"/>
        <v>8.9228108703258049E-2</v>
      </c>
      <c r="Q132" s="1249">
        <f t="shared" si="57"/>
        <v>0</v>
      </c>
      <c r="R132" s="1249">
        <f t="shared" si="57"/>
        <v>0</v>
      </c>
      <c r="S132" s="1249">
        <f t="shared" si="57"/>
        <v>0</v>
      </c>
      <c r="T132" s="1249">
        <f t="shared" si="57"/>
        <v>0.4459879758464787</v>
      </c>
      <c r="U132" s="1282">
        <f t="shared" si="43"/>
        <v>1</v>
      </c>
      <c r="V132" s="1283">
        <f t="shared" ref="V132:AB147" si="58">V131</f>
        <v>0.29028184578274857</v>
      </c>
      <c r="W132" s="1249">
        <f t="shared" si="58"/>
        <v>0.30317187715157518</v>
      </c>
      <c r="X132" s="1249">
        <f t="shared" si="58"/>
        <v>8.2805443243048754E-2</v>
      </c>
      <c r="Y132" s="1249">
        <f t="shared" si="58"/>
        <v>0</v>
      </c>
      <c r="Z132" s="1249">
        <f t="shared" si="58"/>
        <v>0</v>
      </c>
      <c r="AA132" s="1249">
        <f t="shared" si="58"/>
        <v>0</v>
      </c>
      <c r="AB132" s="1249">
        <f t="shared" si="58"/>
        <v>0.32374083382262742</v>
      </c>
      <c r="AC132" s="1282">
        <f t="shared" si="47"/>
        <v>0.99999999999999989</v>
      </c>
    </row>
    <row r="133" spans="1:29">
      <c r="A133" s="187">
        <f t="shared" si="56"/>
        <v>2033</v>
      </c>
      <c r="B133" s="1657">
        <f>INDEX(Drivers!$A$8:$AM$8,1,$A133-2011)/1000</f>
        <v>67.659204065895452</v>
      </c>
      <c r="C133" s="1662">
        <f>INDEX(Drivers!$A$16:$AM$16,1,$A133-2018)</f>
        <v>5403.9196893114931</v>
      </c>
      <c r="D133" s="1658">
        <f>INDEX(Drivers!$A$25:$AM$25,1,$A133-2018)/INDEX(Drivers!$A$25:$AM$25,1,$A133-2019)*D132</f>
        <v>42244930.407056943</v>
      </c>
      <c r="E133" s="762">
        <f t="shared" si="52"/>
        <v>42244930.407056943</v>
      </c>
      <c r="F133" s="1120"/>
      <c r="G133" s="1120"/>
      <c r="H133" s="1121"/>
      <c r="I133" s="1292">
        <f t="shared" si="51"/>
        <v>424.26313389388866</v>
      </c>
      <c r="J133" s="1293">
        <f t="shared" si="53"/>
        <v>12.031045626813224</v>
      </c>
      <c r="K133" s="1294">
        <f t="shared" si="41"/>
        <v>28705.305953762938</v>
      </c>
      <c r="L133" s="1294">
        <f t="shared" si="54"/>
        <v>107259.73475279786</v>
      </c>
      <c r="M133" s="1295">
        <f t="shared" si="55"/>
        <v>107259.73475279786</v>
      </c>
      <c r="N133" s="1249">
        <f t="shared" si="57"/>
        <v>0.19892488097366726</v>
      </c>
      <c r="O133" s="1249">
        <f t="shared" si="57"/>
        <v>0.26585903447659598</v>
      </c>
      <c r="P133" s="1249">
        <f t="shared" si="57"/>
        <v>8.9228108703258049E-2</v>
      </c>
      <c r="Q133" s="1249">
        <f t="shared" si="57"/>
        <v>0</v>
      </c>
      <c r="R133" s="1249">
        <f t="shared" si="57"/>
        <v>0</v>
      </c>
      <c r="S133" s="1249">
        <f t="shared" si="57"/>
        <v>0</v>
      </c>
      <c r="T133" s="1249">
        <f t="shared" si="57"/>
        <v>0.4459879758464787</v>
      </c>
      <c r="U133" s="1282">
        <f t="shared" si="43"/>
        <v>1</v>
      </c>
      <c r="V133" s="1283">
        <f t="shared" si="58"/>
        <v>0.29028184578274857</v>
      </c>
      <c r="W133" s="1249">
        <f t="shared" si="58"/>
        <v>0.30317187715157518</v>
      </c>
      <c r="X133" s="1249">
        <f t="shared" si="58"/>
        <v>8.2805443243048754E-2</v>
      </c>
      <c r="Y133" s="1249">
        <f t="shared" si="58"/>
        <v>0</v>
      </c>
      <c r="Z133" s="1249">
        <f t="shared" si="58"/>
        <v>0</v>
      </c>
      <c r="AA133" s="1249">
        <f t="shared" si="58"/>
        <v>0</v>
      </c>
      <c r="AB133" s="1249">
        <f t="shared" si="58"/>
        <v>0.32374083382262742</v>
      </c>
      <c r="AC133" s="1282">
        <f t="shared" si="47"/>
        <v>0.99999999999999989</v>
      </c>
    </row>
    <row r="134" spans="1:29">
      <c r="A134" s="187">
        <f t="shared" si="56"/>
        <v>2034</v>
      </c>
      <c r="B134" s="1657">
        <f>INDEX(Drivers!$A$8:$AM$8,1,$A134-2011)/1000</f>
        <v>68.236626094715163</v>
      </c>
      <c r="C134" s="1662">
        <f>INDEX(Drivers!$A$16:$AM$16,1,$A134-2018)</f>
        <v>5610.4237500420486</v>
      </c>
      <c r="D134" s="1658">
        <f>INDEX(Drivers!$A$25:$AM$25,1,$A134-2018)/INDEX(Drivers!$A$25:$AM$25,1,$A134-2019)*D133</f>
        <v>40465875.003352016</v>
      </c>
      <c r="E134" s="762">
        <f t="shared" si="52"/>
        <v>40465875.003352016</v>
      </c>
      <c r="F134" s="1120"/>
      <c r="G134" s="1120"/>
      <c r="H134" s="1121"/>
      <c r="I134" s="1292">
        <f t="shared" si="51"/>
        <v>424.26313389388866</v>
      </c>
      <c r="J134" s="1293">
        <f t="shared" si="53"/>
        <v>12.031045626813224</v>
      </c>
      <c r="K134" s="1294">
        <f t="shared" si="41"/>
        <v>28950.284833289355</v>
      </c>
      <c r="L134" s="1294">
        <f t="shared" si="54"/>
        <v>107965.13912586446</v>
      </c>
      <c r="M134" s="1295">
        <f t="shared" si="55"/>
        <v>107965.13912586446</v>
      </c>
      <c r="N134" s="1249">
        <f t="shared" si="57"/>
        <v>0.19892488097366726</v>
      </c>
      <c r="O134" s="1249">
        <f t="shared" si="57"/>
        <v>0.26585903447659598</v>
      </c>
      <c r="P134" s="1249">
        <f t="shared" si="57"/>
        <v>8.9228108703258049E-2</v>
      </c>
      <c r="Q134" s="1249">
        <f t="shared" si="57"/>
        <v>0</v>
      </c>
      <c r="R134" s="1249">
        <f t="shared" si="57"/>
        <v>0</v>
      </c>
      <c r="S134" s="1249">
        <f t="shared" si="57"/>
        <v>0</v>
      </c>
      <c r="T134" s="1249">
        <f t="shared" si="57"/>
        <v>0.4459879758464787</v>
      </c>
      <c r="U134" s="1282">
        <f t="shared" si="43"/>
        <v>1</v>
      </c>
      <c r="V134" s="1283">
        <f t="shared" si="58"/>
        <v>0.29028184578274857</v>
      </c>
      <c r="W134" s="1249">
        <f t="shared" si="58"/>
        <v>0.30317187715157518</v>
      </c>
      <c r="X134" s="1249">
        <f t="shared" si="58"/>
        <v>8.2805443243048754E-2</v>
      </c>
      <c r="Y134" s="1249">
        <f t="shared" si="58"/>
        <v>0</v>
      </c>
      <c r="Z134" s="1249">
        <f t="shared" si="58"/>
        <v>0</v>
      </c>
      <c r="AA134" s="1249">
        <f t="shared" si="58"/>
        <v>0</v>
      </c>
      <c r="AB134" s="1249">
        <f t="shared" si="58"/>
        <v>0.32374083382262742</v>
      </c>
      <c r="AC134" s="1282">
        <f t="shared" si="47"/>
        <v>0.99999999999999989</v>
      </c>
    </row>
    <row r="135" spans="1:29">
      <c r="A135" s="187">
        <f t="shared" si="56"/>
        <v>2035</v>
      </c>
      <c r="B135" s="1657">
        <f>INDEX(Drivers!$A$8:$AM$8,1,$A135-2011)/1000</f>
        <v>68.818976000000006</v>
      </c>
      <c r="C135" s="1662">
        <f>INDEX(Drivers!$A$16:$AM$16,1,$A135-2018)</f>
        <v>5785.6697548645852</v>
      </c>
      <c r="D135" s="1658">
        <f>INDEX(Drivers!$A$25:$AM$25,1,$A135-2018)/INDEX(Drivers!$A$25:$AM$25,1,$A135-2019)*D134</f>
        <v>33374025.316822052</v>
      </c>
      <c r="E135" s="762">
        <f t="shared" si="52"/>
        <v>33374025.316822052</v>
      </c>
      <c r="F135" s="1120"/>
      <c r="G135" s="1120"/>
      <c r="H135" s="1121"/>
      <c r="I135" s="1292">
        <f t="shared" si="51"/>
        <v>424.26313389388866</v>
      </c>
      <c r="J135" s="1293">
        <f t="shared" si="53"/>
        <v>12.031045626813224</v>
      </c>
      <c r="K135" s="1294">
        <f t="shared" si="41"/>
        <v>29197.354429128314</v>
      </c>
      <c r="L135" s="1294">
        <f t="shared" si="54"/>
        <v>102981.68211927116</v>
      </c>
      <c r="M135" s="1295">
        <f t="shared" si="55"/>
        <v>102981.68211927116</v>
      </c>
      <c r="N135" s="1249">
        <f t="shared" si="57"/>
        <v>0.19892488097366726</v>
      </c>
      <c r="O135" s="1249">
        <f t="shared" si="57"/>
        <v>0.26585903447659598</v>
      </c>
      <c r="P135" s="1249">
        <f t="shared" si="57"/>
        <v>8.9228108703258049E-2</v>
      </c>
      <c r="Q135" s="1249">
        <f t="shared" si="57"/>
        <v>0</v>
      </c>
      <c r="R135" s="1249">
        <f t="shared" si="57"/>
        <v>0</v>
      </c>
      <c r="S135" s="1249">
        <f t="shared" si="57"/>
        <v>0</v>
      </c>
      <c r="T135" s="1249">
        <f t="shared" si="57"/>
        <v>0.4459879758464787</v>
      </c>
      <c r="U135" s="1282">
        <f t="shared" si="43"/>
        <v>1</v>
      </c>
      <c r="V135" s="1283">
        <f t="shared" si="58"/>
        <v>0.29028184578274857</v>
      </c>
      <c r="W135" s="1249">
        <f t="shared" si="58"/>
        <v>0.30317187715157518</v>
      </c>
      <c r="X135" s="1249">
        <f t="shared" si="58"/>
        <v>8.2805443243048754E-2</v>
      </c>
      <c r="Y135" s="1249">
        <f t="shared" si="58"/>
        <v>0</v>
      </c>
      <c r="Z135" s="1249">
        <f t="shared" si="58"/>
        <v>0</v>
      </c>
      <c r="AA135" s="1249">
        <f t="shared" si="58"/>
        <v>0</v>
      </c>
      <c r="AB135" s="1249">
        <f t="shared" si="58"/>
        <v>0.32374083382262742</v>
      </c>
      <c r="AC135" s="1282">
        <f t="shared" si="47"/>
        <v>0.99999999999999989</v>
      </c>
    </row>
    <row r="136" spans="1:29">
      <c r="A136" s="187">
        <f t="shared" si="56"/>
        <v>2036</v>
      </c>
      <c r="B136" s="1657">
        <f>INDEX(Drivers!$A$8:$AM$8,1,$A136-2011)/1000</f>
        <v>69.322810489383542</v>
      </c>
      <c r="C136" s="1662">
        <f>INDEX(Drivers!$A$16:$AM$16,1,$A136-2018)</f>
        <v>5959.8602057408698</v>
      </c>
      <c r="D136" s="1658">
        <f>INDEX(Drivers!$A$25:$AM$25,1,$A136-2018)/INDEX(Drivers!$A$25:$AM$25,1,$A136-2019)*D135</f>
        <v>24482482.614495005</v>
      </c>
      <c r="E136" s="762">
        <f t="shared" si="52"/>
        <v>24482482.614495005</v>
      </c>
      <c r="F136" s="1120"/>
      <c r="G136" s="1120"/>
      <c r="H136" s="1121"/>
      <c r="I136" s="1292">
        <f t="shared" si="51"/>
        <v>424.26313389388866</v>
      </c>
      <c r="J136" s="1293">
        <f t="shared" si="53"/>
        <v>12.031045626813224</v>
      </c>
      <c r="K136" s="1294">
        <f t="shared" si="41"/>
        <v>29411.112828557998</v>
      </c>
      <c r="L136" s="1294">
        <f t="shared" si="54"/>
        <v>96185.832679191866</v>
      </c>
      <c r="M136" s="1295">
        <f t="shared" si="55"/>
        <v>96185.832679191866</v>
      </c>
      <c r="N136" s="1249">
        <f t="shared" si="57"/>
        <v>0.19892488097366726</v>
      </c>
      <c r="O136" s="1249">
        <f t="shared" si="57"/>
        <v>0.26585903447659598</v>
      </c>
      <c r="P136" s="1249">
        <f t="shared" si="57"/>
        <v>8.9228108703258049E-2</v>
      </c>
      <c r="Q136" s="1249">
        <f t="shared" si="57"/>
        <v>0</v>
      </c>
      <c r="R136" s="1249">
        <f t="shared" si="57"/>
        <v>0</v>
      </c>
      <c r="S136" s="1249">
        <f t="shared" si="57"/>
        <v>0</v>
      </c>
      <c r="T136" s="1249">
        <f t="shared" si="57"/>
        <v>0.4459879758464787</v>
      </c>
      <c r="U136" s="1282">
        <f t="shared" si="43"/>
        <v>1</v>
      </c>
      <c r="V136" s="1283">
        <f t="shared" si="58"/>
        <v>0.29028184578274857</v>
      </c>
      <c r="W136" s="1249">
        <f t="shared" si="58"/>
        <v>0.30317187715157518</v>
      </c>
      <c r="X136" s="1249">
        <f t="shared" si="58"/>
        <v>8.2805443243048754E-2</v>
      </c>
      <c r="Y136" s="1249">
        <f t="shared" si="58"/>
        <v>0</v>
      </c>
      <c r="Z136" s="1249">
        <f t="shared" si="58"/>
        <v>0</v>
      </c>
      <c r="AA136" s="1249">
        <f t="shared" si="58"/>
        <v>0</v>
      </c>
      <c r="AB136" s="1249">
        <f t="shared" si="58"/>
        <v>0.32374083382262742</v>
      </c>
      <c r="AC136" s="1282">
        <f t="shared" si="47"/>
        <v>0.99999999999999989</v>
      </c>
    </row>
    <row r="137" spans="1:29">
      <c r="A137" s="187">
        <f t="shared" si="56"/>
        <v>2037</v>
      </c>
      <c r="B137" s="1657">
        <f>INDEX(Drivers!$A$8:$AM$8,1,$A137-2011)/1000</f>
        <v>69.830333629884052</v>
      </c>
      <c r="C137" s="1662">
        <f>INDEX(Drivers!$A$16:$AM$16,1,$A137-2018)</f>
        <v>6149.2553125491713</v>
      </c>
      <c r="D137" s="1658">
        <f>INDEX(Drivers!$A$25:$AM$25,1,$A137-2018)/INDEX(Drivers!$A$25:$AM$25,1,$A137-2019)*D136</f>
        <v>21483552.95875904</v>
      </c>
      <c r="E137" s="762">
        <f t="shared" si="52"/>
        <v>21483552.95875904</v>
      </c>
      <c r="F137" s="1120"/>
      <c r="G137" s="1120"/>
      <c r="H137" s="1121"/>
      <c r="I137" s="1292">
        <f t="shared" si="51"/>
        <v>424.26313389388866</v>
      </c>
      <c r="J137" s="1293">
        <f t="shared" si="53"/>
        <v>12.031045626813224</v>
      </c>
      <c r="K137" s="1294">
        <f t="shared" si="41"/>
        <v>29626.436186670413</v>
      </c>
      <c r="L137" s="1294">
        <f t="shared" si="54"/>
        <v>95465.524194961734</v>
      </c>
      <c r="M137" s="1295">
        <f t="shared" si="55"/>
        <v>95465.524194961734</v>
      </c>
      <c r="N137" s="1249">
        <f t="shared" si="57"/>
        <v>0.19892488097366726</v>
      </c>
      <c r="O137" s="1249">
        <f t="shared" si="57"/>
        <v>0.26585903447659598</v>
      </c>
      <c r="P137" s="1249">
        <f t="shared" si="57"/>
        <v>8.9228108703258049E-2</v>
      </c>
      <c r="Q137" s="1249">
        <f t="shared" si="57"/>
        <v>0</v>
      </c>
      <c r="R137" s="1249">
        <f t="shared" si="57"/>
        <v>0</v>
      </c>
      <c r="S137" s="1249">
        <f t="shared" si="57"/>
        <v>0</v>
      </c>
      <c r="T137" s="1249">
        <f t="shared" si="57"/>
        <v>0.4459879758464787</v>
      </c>
      <c r="U137" s="1282">
        <f t="shared" si="43"/>
        <v>1</v>
      </c>
      <c r="V137" s="1283">
        <f t="shared" si="58"/>
        <v>0.29028184578274857</v>
      </c>
      <c r="W137" s="1249">
        <f t="shared" si="58"/>
        <v>0.30317187715157518</v>
      </c>
      <c r="X137" s="1249">
        <f t="shared" si="58"/>
        <v>8.2805443243048754E-2</v>
      </c>
      <c r="Y137" s="1249">
        <f t="shared" si="58"/>
        <v>0</v>
      </c>
      <c r="Z137" s="1249">
        <f t="shared" si="58"/>
        <v>0</v>
      </c>
      <c r="AA137" s="1249">
        <f t="shared" si="58"/>
        <v>0</v>
      </c>
      <c r="AB137" s="1249">
        <f t="shared" si="58"/>
        <v>0.32374083382262742</v>
      </c>
      <c r="AC137" s="1282">
        <f t="shared" si="47"/>
        <v>0.99999999999999989</v>
      </c>
    </row>
    <row r="138" spans="1:29">
      <c r="A138" s="187">
        <f t="shared" si="56"/>
        <v>2038</v>
      </c>
      <c r="B138" s="1657">
        <f>INDEX(Drivers!$A$8:$AM$8,1,$A138-2011)/1000</f>
        <v>70.341572426693446</v>
      </c>
      <c r="C138" s="1662">
        <f>INDEX(Drivers!$A$16:$AM$16,1,$A138-2018)</f>
        <v>6333.0462394281813</v>
      </c>
      <c r="D138" s="1658">
        <f>INDEX(Drivers!$A$25:$AM$25,1,$A138-2018)/INDEX(Drivers!$A$25:$AM$25,1,$A138-2019)*D137</f>
        <v>18854877.897592288</v>
      </c>
      <c r="E138" s="762">
        <f t="shared" si="52"/>
        <v>18854877.897592288</v>
      </c>
      <c r="F138" s="1120"/>
      <c r="G138" s="1120"/>
      <c r="H138" s="1121"/>
      <c r="I138" s="1292">
        <f t="shared" si="51"/>
        <v>424.26313389388866</v>
      </c>
      <c r="J138" s="1293">
        <f t="shared" si="53"/>
        <v>12.031045626813224</v>
      </c>
      <c r="K138" s="1294">
        <f t="shared" si="41"/>
        <v>29843.335960772907</v>
      </c>
      <c r="L138" s="1294">
        <f t="shared" si="54"/>
        <v>95048.046160870639</v>
      </c>
      <c r="M138" s="1295">
        <f t="shared" si="55"/>
        <v>95048.046160870639</v>
      </c>
      <c r="N138" s="1249">
        <f t="shared" si="57"/>
        <v>0.19892488097366726</v>
      </c>
      <c r="O138" s="1249">
        <f t="shared" si="57"/>
        <v>0.26585903447659598</v>
      </c>
      <c r="P138" s="1249">
        <f t="shared" si="57"/>
        <v>8.9228108703258049E-2</v>
      </c>
      <c r="Q138" s="1249">
        <f t="shared" si="57"/>
        <v>0</v>
      </c>
      <c r="R138" s="1249">
        <f t="shared" si="57"/>
        <v>0</v>
      </c>
      <c r="S138" s="1249">
        <f t="shared" si="57"/>
        <v>0</v>
      </c>
      <c r="T138" s="1249">
        <f t="shared" si="57"/>
        <v>0.4459879758464787</v>
      </c>
      <c r="U138" s="1282">
        <f t="shared" si="43"/>
        <v>1</v>
      </c>
      <c r="V138" s="1283">
        <f t="shared" si="58"/>
        <v>0.29028184578274857</v>
      </c>
      <c r="W138" s="1249">
        <f t="shared" si="58"/>
        <v>0.30317187715157518</v>
      </c>
      <c r="X138" s="1249">
        <f t="shared" si="58"/>
        <v>8.2805443243048754E-2</v>
      </c>
      <c r="Y138" s="1249">
        <f t="shared" si="58"/>
        <v>0</v>
      </c>
      <c r="Z138" s="1249">
        <f t="shared" si="58"/>
        <v>0</v>
      </c>
      <c r="AA138" s="1249">
        <f t="shared" si="58"/>
        <v>0</v>
      </c>
      <c r="AB138" s="1249">
        <f t="shared" si="58"/>
        <v>0.32374083382262742</v>
      </c>
      <c r="AC138" s="1282">
        <f t="shared" si="47"/>
        <v>0.99999999999999989</v>
      </c>
    </row>
    <row r="139" spans="1:29">
      <c r="A139" s="187">
        <f t="shared" si="56"/>
        <v>2039</v>
      </c>
      <c r="B139" s="1657">
        <f>INDEX(Drivers!$A$8:$AM$8,1,$A139-2011)/1000</f>
        <v>70.856554082712819</v>
      </c>
      <c r="C139" s="1662">
        <f>INDEX(Drivers!$A$16:$AM$16,1,$A139-2018)</f>
        <v>6520.8289920741563</v>
      </c>
      <c r="D139" s="1658">
        <f>INDEX(Drivers!$A$25:$AM$25,1,$A139-2018)/INDEX(Drivers!$A$25:$AM$25,1,$A139-2019)*D138</f>
        <v>16226202.836425532</v>
      </c>
      <c r="E139" s="762">
        <f t="shared" si="52"/>
        <v>16226202.836425532</v>
      </c>
      <c r="F139" s="1120"/>
      <c r="G139" s="1120"/>
      <c r="H139" s="1121"/>
      <c r="I139" s="1292">
        <f t="shared" si="51"/>
        <v>424.26313389388866</v>
      </c>
      <c r="J139" s="1293">
        <f t="shared" si="53"/>
        <v>12.031045626813224</v>
      </c>
      <c r="K139" s="1294">
        <f t="shared" si="41"/>
        <v>30061.823692053553</v>
      </c>
      <c r="L139" s="1294">
        <f t="shared" si="54"/>
        <v>94678.593964716187</v>
      </c>
      <c r="M139" s="1295">
        <f t="shared" si="55"/>
        <v>94678.593964716187</v>
      </c>
      <c r="N139" s="1249">
        <f t="shared" si="57"/>
        <v>0.19892488097366726</v>
      </c>
      <c r="O139" s="1249">
        <f t="shared" si="57"/>
        <v>0.26585903447659598</v>
      </c>
      <c r="P139" s="1249">
        <f t="shared" si="57"/>
        <v>8.9228108703258049E-2</v>
      </c>
      <c r="Q139" s="1249">
        <f t="shared" si="57"/>
        <v>0</v>
      </c>
      <c r="R139" s="1249">
        <f t="shared" si="57"/>
        <v>0</v>
      </c>
      <c r="S139" s="1249">
        <f t="shared" si="57"/>
        <v>0</v>
      </c>
      <c r="T139" s="1249">
        <f t="shared" si="57"/>
        <v>0.4459879758464787</v>
      </c>
      <c r="U139" s="1282">
        <f t="shared" si="43"/>
        <v>1</v>
      </c>
      <c r="V139" s="1283">
        <f t="shared" si="58"/>
        <v>0.29028184578274857</v>
      </c>
      <c r="W139" s="1249">
        <f t="shared" si="58"/>
        <v>0.30317187715157518</v>
      </c>
      <c r="X139" s="1249">
        <f t="shared" si="58"/>
        <v>8.2805443243048754E-2</v>
      </c>
      <c r="Y139" s="1249">
        <f t="shared" si="58"/>
        <v>0</v>
      </c>
      <c r="Z139" s="1249">
        <f t="shared" si="58"/>
        <v>0</v>
      </c>
      <c r="AA139" s="1249">
        <f t="shared" si="58"/>
        <v>0</v>
      </c>
      <c r="AB139" s="1249">
        <f t="shared" si="58"/>
        <v>0.32374083382262742</v>
      </c>
      <c r="AC139" s="1282">
        <f t="shared" si="47"/>
        <v>0.99999999999999989</v>
      </c>
    </row>
    <row r="140" spans="1:29">
      <c r="A140" s="187">
        <f t="shared" si="56"/>
        <v>2040</v>
      </c>
      <c r="B140" s="1657">
        <f>INDEX(Drivers!$A$8:$AM$8,1,$A140-2011)/1000</f>
        <v>71.375305999999995</v>
      </c>
      <c r="C140" s="1662">
        <f>INDEX(Drivers!$A$16:$AM$16,1,$A140-2018)</f>
        <v>6710.9821193375428</v>
      </c>
      <c r="D140" s="1658">
        <f>INDEX(Drivers!$A$25:$AM$25,1,$A140-2018)/INDEX(Drivers!$A$25:$AM$25,1,$A140-2019)*D139</f>
        <v>13597527.775258772</v>
      </c>
      <c r="E140" s="762">
        <f t="shared" si="52"/>
        <v>13597527.775258772</v>
      </c>
      <c r="F140" s="1120"/>
      <c r="G140" s="1120"/>
      <c r="H140" s="1121"/>
      <c r="I140" s="1292">
        <f t="shared" si="51"/>
        <v>424.26313389388866</v>
      </c>
      <c r="J140" s="1293">
        <f t="shared" si="53"/>
        <v>12.031045626813224</v>
      </c>
      <c r="K140" s="1294">
        <f t="shared" si="41"/>
        <v>30281.911006195274</v>
      </c>
      <c r="L140" s="1294">
        <f t="shared" si="54"/>
        <v>94337.659853736463</v>
      </c>
      <c r="M140" s="1295">
        <f t="shared" si="55"/>
        <v>94337.659853736463</v>
      </c>
      <c r="N140" s="1249">
        <f t="shared" si="57"/>
        <v>0.19892488097366726</v>
      </c>
      <c r="O140" s="1249">
        <f t="shared" si="57"/>
        <v>0.26585903447659598</v>
      </c>
      <c r="P140" s="1249">
        <f t="shared" si="57"/>
        <v>8.9228108703258049E-2</v>
      </c>
      <c r="Q140" s="1249">
        <f t="shared" si="57"/>
        <v>0</v>
      </c>
      <c r="R140" s="1249">
        <f t="shared" si="57"/>
        <v>0</v>
      </c>
      <c r="S140" s="1249">
        <f t="shared" si="57"/>
        <v>0</v>
      </c>
      <c r="T140" s="1249">
        <f t="shared" si="57"/>
        <v>0.4459879758464787</v>
      </c>
      <c r="U140" s="1282">
        <f t="shared" si="43"/>
        <v>1</v>
      </c>
      <c r="V140" s="1283">
        <f t="shared" si="58"/>
        <v>0.29028184578274857</v>
      </c>
      <c r="W140" s="1249">
        <f t="shared" si="58"/>
        <v>0.30317187715157518</v>
      </c>
      <c r="X140" s="1249">
        <f t="shared" si="58"/>
        <v>8.2805443243048754E-2</v>
      </c>
      <c r="Y140" s="1249">
        <f t="shared" si="58"/>
        <v>0</v>
      </c>
      <c r="Z140" s="1249">
        <f t="shared" si="58"/>
        <v>0</v>
      </c>
      <c r="AA140" s="1249">
        <f t="shared" si="58"/>
        <v>0</v>
      </c>
      <c r="AB140" s="1249">
        <f t="shared" si="58"/>
        <v>0.32374083382262742</v>
      </c>
      <c r="AC140" s="1282">
        <f t="shared" si="47"/>
        <v>0.99999999999999989</v>
      </c>
    </row>
    <row r="141" spans="1:29">
      <c r="A141" s="187">
        <f t="shared" si="56"/>
        <v>2041</v>
      </c>
      <c r="B141" s="1657">
        <f>INDEX(Drivers!$A$8:$AM$8,1,$A141-2011)/1000</f>
        <v>71.818612994947316</v>
      </c>
      <c r="C141" s="1662">
        <f>INDEX(Drivers!$A$16:$AM$16,1,$A141-2018)</f>
        <v>6920.8570404241891</v>
      </c>
      <c r="D141" s="1658">
        <f>INDEX(Drivers!$A$25:$AM$25,1,$A141-2018)/INDEX(Drivers!$A$25:$AM$25,1,$A141-2019)*D140</f>
        <v>11135124.826855309</v>
      </c>
      <c r="E141" s="762">
        <f t="shared" si="52"/>
        <v>11135124.826855309</v>
      </c>
      <c r="F141" s="1120"/>
      <c r="G141" s="1120"/>
      <c r="H141" s="1121"/>
      <c r="I141" s="1292">
        <f t="shared" si="51"/>
        <v>424.26313389388866</v>
      </c>
      <c r="J141" s="1293">
        <f t="shared" si="53"/>
        <v>12.031045626813224</v>
      </c>
      <c r="K141" s="1294">
        <f t="shared" si="41"/>
        <v>30469.989821148705</v>
      </c>
      <c r="L141" s="1294">
        <f t="shared" si="54"/>
        <v>94400.271656850266</v>
      </c>
      <c r="M141" s="1295">
        <f t="shared" si="55"/>
        <v>94400.271656850266</v>
      </c>
      <c r="N141" s="1249">
        <f t="shared" si="57"/>
        <v>0.19892488097366726</v>
      </c>
      <c r="O141" s="1249">
        <f t="shared" si="57"/>
        <v>0.26585903447659598</v>
      </c>
      <c r="P141" s="1249">
        <f t="shared" si="57"/>
        <v>8.9228108703258049E-2</v>
      </c>
      <c r="Q141" s="1249">
        <f t="shared" si="57"/>
        <v>0</v>
      </c>
      <c r="R141" s="1249">
        <f t="shared" si="57"/>
        <v>0</v>
      </c>
      <c r="S141" s="1249">
        <f t="shared" si="57"/>
        <v>0</v>
      </c>
      <c r="T141" s="1249">
        <f t="shared" si="57"/>
        <v>0.4459879758464787</v>
      </c>
      <c r="U141" s="1282">
        <f t="shared" si="43"/>
        <v>1</v>
      </c>
      <c r="V141" s="1283">
        <f t="shared" si="58"/>
        <v>0.29028184578274857</v>
      </c>
      <c r="W141" s="1249">
        <f t="shared" si="58"/>
        <v>0.30317187715157518</v>
      </c>
      <c r="X141" s="1249">
        <f t="shared" si="58"/>
        <v>8.2805443243048754E-2</v>
      </c>
      <c r="Y141" s="1249">
        <f t="shared" si="58"/>
        <v>0</v>
      </c>
      <c r="Z141" s="1249">
        <f t="shared" si="58"/>
        <v>0</v>
      </c>
      <c r="AA141" s="1249">
        <f t="shared" si="58"/>
        <v>0</v>
      </c>
      <c r="AB141" s="1249">
        <f t="shared" si="58"/>
        <v>0.32374083382262742</v>
      </c>
      <c r="AC141" s="1282">
        <f t="shared" si="47"/>
        <v>0.99999999999999989</v>
      </c>
    </row>
    <row r="142" spans="1:29">
      <c r="A142" s="187">
        <f t="shared" si="56"/>
        <v>2042</v>
      </c>
      <c r="B142" s="1657">
        <f>INDEX(Drivers!$A$8:$AM$8,1,$A142-2011)/1000</f>
        <v>72.264673338395411</v>
      </c>
      <c r="C142" s="1662">
        <f>INDEX(Drivers!$A$16:$AM$16,1,$A142-2018)</f>
        <v>7114.4180841945599</v>
      </c>
      <c r="D142" s="1658">
        <f>INDEX(Drivers!$A$25:$AM$25,1,$A142-2018)/INDEX(Drivers!$A$25:$AM$25,1,$A142-2019)*D141</f>
        <v>8672721.8784518428</v>
      </c>
      <c r="E142" s="762">
        <f t="shared" si="52"/>
        <v>8672721.8784518428</v>
      </c>
      <c r="F142" s="1120"/>
      <c r="G142" s="1120"/>
      <c r="H142" s="1121"/>
      <c r="I142" s="1292">
        <f t="shared" si="51"/>
        <v>424.26313389388866</v>
      </c>
      <c r="J142" s="1293">
        <f t="shared" si="53"/>
        <v>12.031045626813224</v>
      </c>
      <c r="K142" s="1294">
        <f t="shared" si="41"/>
        <v>30659.23678036578</v>
      </c>
      <c r="L142" s="1294">
        <f t="shared" si="54"/>
        <v>94266.610457621719</v>
      </c>
      <c r="M142" s="1295">
        <f t="shared" si="55"/>
        <v>94266.610457621719</v>
      </c>
      <c r="N142" s="1249">
        <f t="shared" si="57"/>
        <v>0.19892488097366726</v>
      </c>
      <c r="O142" s="1249">
        <f t="shared" si="57"/>
        <v>0.26585903447659598</v>
      </c>
      <c r="P142" s="1249">
        <f t="shared" si="57"/>
        <v>8.9228108703258049E-2</v>
      </c>
      <c r="Q142" s="1249">
        <f t="shared" si="57"/>
        <v>0</v>
      </c>
      <c r="R142" s="1249">
        <f t="shared" si="57"/>
        <v>0</v>
      </c>
      <c r="S142" s="1249">
        <f t="shared" si="57"/>
        <v>0</v>
      </c>
      <c r="T142" s="1249">
        <f t="shared" si="57"/>
        <v>0.4459879758464787</v>
      </c>
      <c r="U142" s="1282">
        <f t="shared" si="43"/>
        <v>1</v>
      </c>
      <c r="V142" s="1283">
        <f t="shared" si="58"/>
        <v>0.29028184578274857</v>
      </c>
      <c r="W142" s="1249">
        <f t="shared" si="58"/>
        <v>0.30317187715157518</v>
      </c>
      <c r="X142" s="1249">
        <f t="shared" si="58"/>
        <v>8.2805443243048754E-2</v>
      </c>
      <c r="Y142" s="1249">
        <f t="shared" si="58"/>
        <v>0</v>
      </c>
      <c r="Z142" s="1249">
        <f t="shared" si="58"/>
        <v>0</v>
      </c>
      <c r="AA142" s="1249">
        <f t="shared" si="58"/>
        <v>0</v>
      </c>
      <c r="AB142" s="1249">
        <f t="shared" si="58"/>
        <v>0.32374083382262742</v>
      </c>
      <c r="AC142" s="1282">
        <f t="shared" si="47"/>
        <v>0.99999999999999989</v>
      </c>
    </row>
    <row r="143" spans="1:29">
      <c r="A143" s="187">
        <f t="shared" si="56"/>
        <v>2043</v>
      </c>
      <c r="B143" s="1657">
        <f>INDEX(Drivers!$A$8:$AM$8,1,$A143-2011)/1000</f>
        <v>72.713504131197794</v>
      </c>
      <c r="C143" s="1662">
        <f>INDEX(Drivers!$A$16:$AM$16,1,$A143-2018)</f>
        <v>7308.347295357521</v>
      </c>
      <c r="D143" s="1658">
        <f>INDEX(Drivers!$A$25:$AM$25,1,$A143-2018)/INDEX(Drivers!$A$25:$AM$25,1,$A143-2019)*D142</f>
        <v>6210318.9300483763</v>
      </c>
      <c r="E143" s="762">
        <f t="shared" si="52"/>
        <v>6210318.9300483763</v>
      </c>
      <c r="F143" s="1120"/>
      <c r="G143" s="1120"/>
      <c r="H143" s="1121"/>
      <c r="I143" s="1292">
        <f t="shared" si="51"/>
        <v>424.26313389388866</v>
      </c>
      <c r="J143" s="1293">
        <f t="shared" si="53"/>
        <v>12.031045626813224</v>
      </c>
      <c r="K143" s="1294">
        <f t="shared" si="41"/>
        <v>30849.659139108197</v>
      </c>
      <c r="L143" s="1294">
        <f t="shared" si="54"/>
        <v>94137.378697091743</v>
      </c>
      <c r="M143" s="1295">
        <f t="shared" si="55"/>
        <v>94137.378697091743</v>
      </c>
      <c r="N143" s="1249">
        <f t="shared" si="57"/>
        <v>0.19892488097366726</v>
      </c>
      <c r="O143" s="1249">
        <f t="shared" si="57"/>
        <v>0.26585903447659598</v>
      </c>
      <c r="P143" s="1249">
        <f t="shared" si="57"/>
        <v>8.9228108703258049E-2</v>
      </c>
      <c r="Q143" s="1249">
        <f t="shared" si="57"/>
        <v>0</v>
      </c>
      <c r="R143" s="1249">
        <f t="shared" si="57"/>
        <v>0</v>
      </c>
      <c r="S143" s="1249">
        <f t="shared" si="57"/>
        <v>0</v>
      </c>
      <c r="T143" s="1249">
        <f t="shared" si="57"/>
        <v>0.4459879758464787</v>
      </c>
      <c r="U143" s="1282">
        <f t="shared" si="43"/>
        <v>1</v>
      </c>
      <c r="V143" s="1283">
        <f t="shared" si="58"/>
        <v>0.29028184578274857</v>
      </c>
      <c r="W143" s="1249">
        <f t="shared" si="58"/>
        <v>0.30317187715157518</v>
      </c>
      <c r="X143" s="1249">
        <f t="shared" si="58"/>
        <v>8.2805443243048754E-2</v>
      </c>
      <c r="Y143" s="1249">
        <f t="shared" si="58"/>
        <v>0</v>
      </c>
      <c r="Z143" s="1249">
        <f t="shared" si="58"/>
        <v>0</v>
      </c>
      <c r="AA143" s="1249">
        <f t="shared" si="58"/>
        <v>0</v>
      </c>
      <c r="AB143" s="1249">
        <f t="shared" si="58"/>
        <v>0.32374083382262742</v>
      </c>
      <c r="AC143" s="1282">
        <f t="shared" si="47"/>
        <v>0.99999999999999989</v>
      </c>
    </row>
    <row r="144" spans="1:29">
      <c r="A144" s="187">
        <f t="shared" si="56"/>
        <v>2044</v>
      </c>
      <c r="B144" s="1657">
        <f>INDEX(Drivers!$A$8:$AM$8,1,$A144-2011)/1000</f>
        <v>73.165122580420132</v>
      </c>
      <c r="C144" s="1662">
        <f>INDEX(Drivers!$A$16:$AM$16,1,$A144-2018)</f>
        <v>7506.518596985471</v>
      </c>
      <c r="D144" s="1658">
        <f>INDEX(Drivers!$A$25:$AM$25,1,$A144-2018)/INDEX(Drivers!$A$25:$AM$25,1,$A144-2019)*D143</f>
        <v>3747915.9816449117</v>
      </c>
      <c r="E144" s="762">
        <f t="shared" si="52"/>
        <v>3747915.9816449117</v>
      </c>
      <c r="F144" s="1120"/>
      <c r="G144" s="1120"/>
      <c r="H144" s="1121"/>
      <c r="I144" s="1292">
        <f t="shared" si="51"/>
        <v>424.26313389388866</v>
      </c>
      <c r="J144" s="1293">
        <f t="shared" si="53"/>
        <v>12.031045626813224</v>
      </c>
      <c r="K144" s="1294">
        <f t="shared" si="41"/>
        <v>31041.264197699562</v>
      </c>
      <c r="L144" s="1294">
        <f t="shared" si="54"/>
        <v>94059.183720499102</v>
      </c>
      <c r="M144" s="1295">
        <f t="shared" si="55"/>
        <v>94059.183720499102</v>
      </c>
      <c r="N144" s="1249">
        <f t="shared" si="57"/>
        <v>0.19892488097366726</v>
      </c>
      <c r="O144" s="1249">
        <f t="shared" si="57"/>
        <v>0.26585903447659598</v>
      </c>
      <c r="P144" s="1249">
        <f t="shared" si="57"/>
        <v>8.9228108703258049E-2</v>
      </c>
      <c r="Q144" s="1249">
        <f t="shared" si="57"/>
        <v>0</v>
      </c>
      <c r="R144" s="1249">
        <f t="shared" si="57"/>
        <v>0</v>
      </c>
      <c r="S144" s="1249">
        <f t="shared" si="57"/>
        <v>0</v>
      </c>
      <c r="T144" s="1249">
        <f t="shared" si="57"/>
        <v>0.4459879758464787</v>
      </c>
      <c r="U144" s="1282">
        <f t="shared" si="43"/>
        <v>1</v>
      </c>
      <c r="V144" s="1283">
        <f t="shared" si="58"/>
        <v>0.29028184578274857</v>
      </c>
      <c r="W144" s="1249">
        <f t="shared" si="58"/>
        <v>0.30317187715157518</v>
      </c>
      <c r="X144" s="1249">
        <f t="shared" si="58"/>
        <v>8.2805443243048754E-2</v>
      </c>
      <c r="Y144" s="1249">
        <f t="shared" si="58"/>
        <v>0</v>
      </c>
      <c r="Z144" s="1249">
        <f t="shared" si="58"/>
        <v>0</v>
      </c>
      <c r="AA144" s="1249">
        <f t="shared" si="58"/>
        <v>0</v>
      </c>
      <c r="AB144" s="1249">
        <f t="shared" si="58"/>
        <v>0.32374083382262742</v>
      </c>
      <c r="AC144" s="1282">
        <f t="shared" si="47"/>
        <v>0.99999999999999989</v>
      </c>
    </row>
    <row r="145" spans="1:29">
      <c r="A145" s="187">
        <f t="shared" si="56"/>
        <v>2045</v>
      </c>
      <c r="B145" s="1657">
        <f>INDEX(Drivers!$A$8:$AM$8,1,$A145-2011)/1000</f>
        <v>73.619545999999971</v>
      </c>
      <c r="C145" s="1662">
        <f>INDEX(Drivers!$A$16:$AM$16,1,$A145-2018)</f>
        <v>7710.3236783048815</v>
      </c>
      <c r="D145" s="1658">
        <f>INDEX(Drivers!$A$25:$AM$25,1,$A145-2018)/INDEX(Drivers!$A$25:$AM$25,1,$A145-2019)*D144</f>
        <v>1285513.0332414466</v>
      </c>
      <c r="E145" s="762">
        <f t="shared" si="52"/>
        <v>1285513.0332414466</v>
      </c>
      <c r="F145" s="1120"/>
      <c r="G145" s="1120"/>
      <c r="H145" s="1121"/>
      <c r="I145" s="1292">
        <f t="shared" si="51"/>
        <v>424.26313389388866</v>
      </c>
      <c r="J145" s="1293">
        <f t="shared" si="53"/>
        <v>12.031045626813224</v>
      </c>
      <c r="K145" s="1294">
        <f t="shared" si="41"/>
        <v>31234.059301805282</v>
      </c>
      <c r="L145" s="1294">
        <f t="shared" si="54"/>
        <v>94048.769004425834</v>
      </c>
      <c r="M145" s="1295">
        <f t="shared" si="55"/>
        <v>94048.769004425834</v>
      </c>
      <c r="N145" s="1249">
        <f t="shared" si="57"/>
        <v>0.19892488097366726</v>
      </c>
      <c r="O145" s="1249">
        <f t="shared" si="57"/>
        <v>0.26585903447659598</v>
      </c>
      <c r="P145" s="1249">
        <f t="shared" si="57"/>
        <v>8.9228108703258049E-2</v>
      </c>
      <c r="Q145" s="1249">
        <f t="shared" si="57"/>
        <v>0</v>
      </c>
      <c r="R145" s="1249">
        <f t="shared" si="57"/>
        <v>0</v>
      </c>
      <c r="S145" s="1249">
        <f t="shared" si="57"/>
        <v>0</v>
      </c>
      <c r="T145" s="1249">
        <f t="shared" si="57"/>
        <v>0.4459879758464787</v>
      </c>
      <c r="U145" s="1282">
        <f t="shared" si="43"/>
        <v>1</v>
      </c>
      <c r="V145" s="1283">
        <f t="shared" si="58"/>
        <v>0.29028184578274857</v>
      </c>
      <c r="W145" s="1249">
        <f t="shared" si="58"/>
        <v>0.30317187715157518</v>
      </c>
      <c r="X145" s="1249">
        <f t="shared" si="58"/>
        <v>8.2805443243048754E-2</v>
      </c>
      <c r="Y145" s="1249">
        <f t="shared" si="58"/>
        <v>0</v>
      </c>
      <c r="Z145" s="1249">
        <f t="shared" si="58"/>
        <v>0</v>
      </c>
      <c r="AA145" s="1249">
        <f t="shared" si="58"/>
        <v>0</v>
      </c>
      <c r="AB145" s="1249">
        <f t="shared" si="58"/>
        <v>0.32374083382262742</v>
      </c>
      <c r="AC145" s="1282">
        <f t="shared" si="47"/>
        <v>0.99999999999999989</v>
      </c>
    </row>
    <row r="146" spans="1:29">
      <c r="A146" s="187">
        <f t="shared" si="56"/>
        <v>2046</v>
      </c>
      <c r="B146" s="1657">
        <f>INDEX(Drivers!$A$8:$AM$8,1,$A146-2011)/1000</f>
        <v>73.995362001779526</v>
      </c>
      <c r="C146" s="1662">
        <f>INDEX(Drivers!$A$16:$AM$16,1,$A146-2018)</f>
        <v>7937.3408756753133</v>
      </c>
      <c r="D146" s="1658">
        <f>INDEX(Drivers!$A$25:$AM$25,1,$A146-2018)/INDEX(Drivers!$A$25:$AM$25,1,$A146-2019)*D145</f>
        <v>1075389.49817775</v>
      </c>
      <c r="E146" s="762">
        <f t="shared" si="52"/>
        <v>1075389.49817775</v>
      </c>
      <c r="F146" s="1120"/>
      <c r="G146" s="1120"/>
      <c r="H146" s="1121"/>
      <c r="I146" s="1292">
        <f t="shared" si="51"/>
        <v>424.26313389388866</v>
      </c>
      <c r="J146" s="1293">
        <f t="shared" si="53"/>
        <v>12.031045626813224</v>
      </c>
      <c r="K146" s="1294">
        <f t="shared" si="41"/>
        <v>31393.50417648775</v>
      </c>
      <c r="L146" s="1294">
        <f t="shared" si="54"/>
        <v>96569.899728997087</v>
      </c>
      <c r="M146" s="1295">
        <f t="shared" si="55"/>
        <v>96569.899728997087</v>
      </c>
      <c r="N146" s="1249">
        <f t="shared" si="57"/>
        <v>0.19892488097366726</v>
      </c>
      <c r="O146" s="1249">
        <f t="shared" si="57"/>
        <v>0.26585903447659598</v>
      </c>
      <c r="P146" s="1249">
        <f t="shared" si="57"/>
        <v>8.9228108703258049E-2</v>
      </c>
      <c r="Q146" s="1249">
        <f t="shared" si="57"/>
        <v>0</v>
      </c>
      <c r="R146" s="1249">
        <f t="shared" si="57"/>
        <v>0</v>
      </c>
      <c r="S146" s="1249">
        <f t="shared" si="57"/>
        <v>0</v>
      </c>
      <c r="T146" s="1249">
        <f t="shared" si="57"/>
        <v>0.4459879758464787</v>
      </c>
      <c r="U146" s="1282">
        <f t="shared" ref="U146:U150" si="59">SUM(N146:T146)</f>
        <v>1</v>
      </c>
      <c r="V146" s="1283">
        <f t="shared" si="58"/>
        <v>0.29028184578274857</v>
      </c>
      <c r="W146" s="1249">
        <f t="shared" si="58"/>
        <v>0.30317187715157518</v>
      </c>
      <c r="X146" s="1249">
        <f t="shared" si="58"/>
        <v>8.2805443243048754E-2</v>
      </c>
      <c r="Y146" s="1249">
        <f t="shared" si="58"/>
        <v>0</v>
      </c>
      <c r="Z146" s="1249">
        <f t="shared" si="58"/>
        <v>0</v>
      </c>
      <c r="AA146" s="1249">
        <f t="shared" si="58"/>
        <v>0</v>
      </c>
      <c r="AB146" s="1249">
        <f t="shared" si="58"/>
        <v>0.32374083382262742</v>
      </c>
      <c r="AC146" s="1282">
        <f t="shared" si="47"/>
        <v>0.99999999999999989</v>
      </c>
    </row>
    <row r="147" spans="1:29">
      <c r="A147" s="187">
        <f t="shared" si="56"/>
        <v>2047</v>
      </c>
      <c r="B147" s="1657">
        <f>INDEX(Drivers!$A$8:$AM$8,1,$A147-2011)/1000</f>
        <v>74.373096484110363</v>
      </c>
      <c r="C147" s="1662">
        <f>INDEX(Drivers!$A$16:$AM$16,1,$A147-2018)</f>
        <v>8114.689906663607</v>
      </c>
      <c r="D147" s="1658">
        <f>INDEX(Drivers!$A$25:$AM$25,1,$A147-2018)/INDEX(Drivers!$A$25:$AM$25,1,$A147-2019)*D146</f>
        <v>865265.96311405371</v>
      </c>
      <c r="E147" s="762">
        <f t="shared" si="52"/>
        <v>865265.96311405371</v>
      </c>
      <c r="F147" s="1120"/>
      <c r="G147" s="1120"/>
      <c r="H147" s="1121"/>
      <c r="I147" s="1292">
        <f t="shared" si="51"/>
        <v>424.26313389388866</v>
      </c>
      <c r="J147" s="1293">
        <f t="shared" si="53"/>
        <v>12.031045626813224</v>
      </c>
      <c r="K147" s="1294">
        <f t="shared" si="41"/>
        <v>31553.762991741216</v>
      </c>
      <c r="L147" s="1294">
        <f t="shared" si="54"/>
        <v>98493.470477624651</v>
      </c>
      <c r="M147" s="1295">
        <f t="shared" si="55"/>
        <v>98493.470477624651</v>
      </c>
      <c r="N147" s="1249">
        <f t="shared" ref="N147:T150" si="60">N146</f>
        <v>0.19892488097366726</v>
      </c>
      <c r="O147" s="1249">
        <f t="shared" si="60"/>
        <v>0.26585903447659598</v>
      </c>
      <c r="P147" s="1249">
        <f t="shared" si="60"/>
        <v>8.9228108703258049E-2</v>
      </c>
      <c r="Q147" s="1249">
        <f t="shared" si="60"/>
        <v>0</v>
      </c>
      <c r="R147" s="1249">
        <f t="shared" si="60"/>
        <v>0</v>
      </c>
      <c r="S147" s="1249">
        <f t="shared" si="60"/>
        <v>0</v>
      </c>
      <c r="T147" s="1249">
        <f t="shared" si="60"/>
        <v>0.4459879758464787</v>
      </c>
      <c r="U147" s="1282">
        <f t="shared" si="59"/>
        <v>1</v>
      </c>
      <c r="V147" s="1283">
        <f t="shared" si="58"/>
        <v>0.29028184578274857</v>
      </c>
      <c r="W147" s="1249">
        <f t="shared" si="58"/>
        <v>0.30317187715157518</v>
      </c>
      <c r="X147" s="1249">
        <f t="shared" si="58"/>
        <v>8.2805443243048754E-2</v>
      </c>
      <c r="Y147" s="1249">
        <f t="shared" si="58"/>
        <v>0</v>
      </c>
      <c r="Z147" s="1249">
        <f t="shared" si="58"/>
        <v>0</v>
      </c>
      <c r="AA147" s="1249">
        <f t="shared" si="58"/>
        <v>0</v>
      </c>
      <c r="AB147" s="1249">
        <f t="shared" si="58"/>
        <v>0.32374083382262742</v>
      </c>
      <c r="AC147" s="1282">
        <f t="shared" si="47"/>
        <v>0.99999999999999989</v>
      </c>
    </row>
    <row r="148" spans="1:29">
      <c r="A148" s="187">
        <f t="shared" si="56"/>
        <v>2048</v>
      </c>
      <c r="B148" s="1657">
        <f>INDEX(Drivers!$A$8:$AM$8,1,$A148-2011)/1000</f>
        <v>74.752759240528661</v>
      </c>
      <c r="C148" s="1662">
        <f>INDEX(Drivers!$A$16:$AM$16,1,$A148-2018)</f>
        <v>8296.4877206561141</v>
      </c>
      <c r="D148" s="1658">
        <f>INDEX(Drivers!$A$25:$AM$25,1,$A148-2018)/INDEX(Drivers!$A$25:$AM$25,1,$A148-2019)*D147</f>
        <v>655142.42805035703</v>
      </c>
      <c r="E148" s="762">
        <f t="shared" si="52"/>
        <v>655142.42805035703</v>
      </c>
      <c r="F148" s="1120"/>
      <c r="G148" s="1120"/>
      <c r="H148" s="1121"/>
      <c r="I148" s="1292">
        <f t="shared" si="51"/>
        <v>424.26313389388866</v>
      </c>
      <c r="J148" s="1293">
        <f t="shared" si="53"/>
        <v>12.031045626813224</v>
      </c>
      <c r="K148" s="1294">
        <f t="shared" si="41"/>
        <v>31714.839902602034</v>
      </c>
      <c r="L148" s="1294">
        <f t="shared" si="54"/>
        <v>100470.56473755972</v>
      </c>
      <c r="M148" s="1295">
        <f t="shared" si="55"/>
        <v>100470.56473755972</v>
      </c>
      <c r="N148" s="1249">
        <f t="shared" si="60"/>
        <v>0.19892488097366726</v>
      </c>
      <c r="O148" s="1249">
        <f t="shared" si="60"/>
        <v>0.26585903447659598</v>
      </c>
      <c r="P148" s="1249">
        <f t="shared" si="60"/>
        <v>8.9228108703258049E-2</v>
      </c>
      <c r="Q148" s="1249">
        <f t="shared" si="60"/>
        <v>0</v>
      </c>
      <c r="R148" s="1249">
        <f t="shared" si="60"/>
        <v>0</v>
      </c>
      <c r="S148" s="1249">
        <f t="shared" si="60"/>
        <v>0</v>
      </c>
      <c r="T148" s="1249">
        <f t="shared" si="60"/>
        <v>0.4459879758464787</v>
      </c>
      <c r="U148" s="1282">
        <f t="shared" si="59"/>
        <v>1</v>
      </c>
      <c r="V148" s="1283">
        <f t="shared" ref="V148:AB150" si="61">V147</f>
        <v>0.29028184578274857</v>
      </c>
      <c r="W148" s="1249">
        <f t="shared" si="61"/>
        <v>0.30317187715157518</v>
      </c>
      <c r="X148" s="1249">
        <f t="shared" si="61"/>
        <v>8.2805443243048754E-2</v>
      </c>
      <c r="Y148" s="1249">
        <f t="shared" si="61"/>
        <v>0</v>
      </c>
      <c r="Z148" s="1249">
        <f t="shared" si="61"/>
        <v>0</v>
      </c>
      <c r="AA148" s="1249">
        <f t="shared" si="61"/>
        <v>0</v>
      </c>
      <c r="AB148" s="1249">
        <f t="shared" si="61"/>
        <v>0.32374083382262742</v>
      </c>
      <c r="AC148" s="1282">
        <f t="shared" si="47"/>
        <v>0.99999999999999989</v>
      </c>
    </row>
    <row r="149" spans="1:29">
      <c r="A149" s="187">
        <f t="shared" si="56"/>
        <v>2049</v>
      </c>
      <c r="B149" s="1657">
        <f>INDEX(Drivers!$A$8:$AM$8,1,$A149-2011)/1000</f>
        <v>75.134360114565098</v>
      </c>
      <c r="C149" s="1662">
        <f>INDEX(Drivers!$A$16:$AM$16,1,$A149-2018)</f>
        <v>8472.9909282566368</v>
      </c>
      <c r="D149" s="1658">
        <f>INDEX(Drivers!$A$25:$AM$25,1,$A149-2018)/INDEX(Drivers!$A$25:$AM$25,1,$A149-2019)*D148</f>
        <v>445018.89298666047</v>
      </c>
      <c r="E149" s="762">
        <f t="shared" si="52"/>
        <v>445018.89298666047</v>
      </c>
      <c r="F149" s="1120"/>
      <c r="G149" s="1120"/>
      <c r="H149" s="1121"/>
      <c r="I149" s="1292">
        <f t="shared" si="51"/>
        <v>424.26313389388866</v>
      </c>
      <c r="J149" s="1293">
        <f t="shared" si="53"/>
        <v>12.031045626813224</v>
      </c>
      <c r="K149" s="1294">
        <f t="shared" si="41"/>
        <v>31876.739085317382</v>
      </c>
      <c r="L149" s="1294">
        <f t="shared" si="54"/>
        <v>102383.95934641678</v>
      </c>
      <c r="M149" s="1295">
        <f t="shared" si="55"/>
        <v>102383.95934641678</v>
      </c>
      <c r="N149" s="1249">
        <f t="shared" si="60"/>
        <v>0.19892488097366726</v>
      </c>
      <c r="O149" s="1249">
        <f t="shared" si="60"/>
        <v>0.26585903447659598</v>
      </c>
      <c r="P149" s="1249">
        <f t="shared" si="60"/>
        <v>8.9228108703258049E-2</v>
      </c>
      <c r="Q149" s="1249">
        <f t="shared" si="60"/>
        <v>0</v>
      </c>
      <c r="R149" s="1249">
        <f t="shared" si="60"/>
        <v>0</v>
      </c>
      <c r="S149" s="1249">
        <f t="shared" si="60"/>
        <v>0</v>
      </c>
      <c r="T149" s="1249">
        <f t="shared" si="60"/>
        <v>0.4459879758464787</v>
      </c>
      <c r="U149" s="1282">
        <f t="shared" si="59"/>
        <v>1</v>
      </c>
      <c r="V149" s="1283">
        <f t="shared" si="61"/>
        <v>0.29028184578274857</v>
      </c>
      <c r="W149" s="1249">
        <f t="shared" si="61"/>
        <v>0.30317187715157518</v>
      </c>
      <c r="X149" s="1249">
        <f t="shared" si="61"/>
        <v>8.2805443243048754E-2</v>
      </c>
      <c r="Y149" s="1249">
        <f t="shared" si="61"/>
        <v>0</v>
      </c>
      <c r="Z149" s="1249">
        <f t="shared" si="61"/>
        <v>0</v>
      </c>
      <c r="AA149" s="1249">
        <f t="shared" si="61"/>
        <v>0</v>
      </c>
      <c r="AB149" s="1249">
        <f t="shared" si="61"/>
        <v>0.32374083382262742</v>
      </c>
      <c r="AC149" s="1282">
        <f t="shared" si="47"/>
        <v>0.99999999999999989</v>
      </c>
    </row>
    <row r="150" spans="1:29" ht="16.5" thickBot="1">
      <c r="A150" s="758">
        <f t="shared" si="56"/>
        <v>2050</v>
      </c>
      <c r="B150" s="1659">
        <f>INDEX(Drivers!$A$8:$AM$8,1,$A150-2011)/1000</f>
        <v>75.517908999999989</v>
      </c>
      <c r="C150" s="1660">
        <f>INDEX(Drivers!$A$16:$AM$16,1,$A150-2018)</f>
        <v>8654.8011856383091</v>
      </c>
      <c r="D150" s="1661">
        <f>INDEX(Drivers!$A$25:$AM$25,1,$A150-2018)/INDEX(Drivers!$A$25:$AM$25,1,$A150-2019)*D149</f>
        <v>234895.35792296397</v>
      </c>
      <c r="E150" s="762">
        <f t="shared" si="52"/>
        <v>234895.35792296397</v>
      </c>
      <c r="F150" s="1122"/>
      <c r="G150" s="1122"/>
      <c r="H150" s="1123"/>
      <c r="I150" s="1298">
        <f t="shared" si="51"/>
        <v>424.26313389388866</v>
      </c>
      <c r="J150" s="1299">
        <f t="shared" si="53"/>
        <v>12.031045626813224</v>
      </c>
      <c r="K150" s="1300">
        <f t="shared" si="41"/>
        <v>32039.464737453494</v>
      </c>
      <c r="L150" s="1300">
        <f t="shared" si="54"/>
        <v>104361.20331333466</v>
      </c>
      <c r="M150" s="1301">
        <f t="shared" si="55"/>
        <v>104361.20331333466</v>
      </c>
      <c r="N150" s="1284">
        <f t="shared" si="60"/>
        <v>0.19892488097366726</v>
      </c>
      <c r="O150" s="1284">
        <f t="shared" si="60"/>
        <v>0.26585903447659598</v>
      </c>
      <c r="P150" s="1284">
        <f t="shared" si="60"/>
        <v>8.9228108703258049E-2</v>
      </c>
      <c r="Q150" s="1284">
        <f t="shared" si="60"/>
        <v>0</v>
      </c>
      <c r="R150" s="1284">
        <f t="shared" si="60"/>
        <v>0</v>
      </c>
      <c r="S150" s="1284">
        <f t="shared" si="60"/>
        <v>0</v>
      </c>
      <c r="T150" s="1284">
        <f t="shared" si="60"/>
        <v>0.4459879758464787</v>
      </c>
      <c r="U150" s="1285">
        <f t="shared" si="59"/>
        <v>1</v>
      </c>
      <c r="V150" s="1286">
        <f t="shared" si="61"/>
        <v>0.29028184578274857</v>
      </c>
      <c r="W150" s="1284">
        <f t="shared" si="61"/>
        <v>0.30317187715157518</v>
      </c>
      <c r="X150" s="1284">
        <f t="shared" si="61"/>
        <v>8.2805443243048754E-2</v>
      </c>
      <c r="Y150" s="1284">
        <f t="shared" si="61"/>
        <v>0</v>
      </c>
      <c r="Z150" s="1284">
        <f t="shared" si="61"/>
        <v>0</v>
      </c>
      <c r="AA150" s="1284">
        <f t="shared" si="61"/>
        <v>0</v>
      </c>
      <c r="AB150" s="1284">
        <f t="shared" si="61"/>
        <v>0.32374083382262742</v>
      </c>
      <c r="AC150" s="1285">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24" t="s">
        <v>665</v>
      </c>
      <c r="X3" s="1725"/>
      <c r="Y3" s="1725"/>
      <c r="Z3" s="1725"/>
      <c r="AA3" s="1725"/>
      <c r="AB3" s="1725"/>
      <c r="AC3" s="1725"/>
      <c r="AD3" s="1726"/>
      <c r="AE3" s="1" t="s">
        <v>789</v>
      </c>
    </row>
    <row r="4" spans="1:16381" ht="15.75" thickBot="1"/>
    <row r="5" spans="1:16381" ht="16.149999999999999" customHeight="1" thickBot="1">
      <c r="C5" s="1727" t="s">
        <v>294</v>
      </c>
      <c r="D5" s="1728"/>
      <c r="E5" s="1728"/>
      <c r="F5" s="1728"/>
      <c r="G5" s="1728"/>
      <c r="H5" s="1728"/>
      <c r="I5" s="1728"/>
      <c r="J5" s="1728"/>
      <c r="K5" s="1729"/>
      <c r="L5" s="1760" t="s">
        <v>516</v>
      </c>
      <c r="M5" s="1761"/>
      <c r="N5" s="1761"/>
      <c r="O5" s="1761"/>
      <c r="P5" s="1762"/>
      <c r="Q5" s="1766" t="s">
        <v>518</v>
      </c>
      <c r="R5" s="1767"/>
      <c r="S5" s="1767"/>
      <c r="T5" s="1767"/>
      <c r="U5" s="1768"/>
      <c r="W5" s="736"/>
      <c r="X5" s="1732" t="s">
        <v>643</v>
      </c>
      <c r="Y5" s="1733"/>
      <c r="Z5" s="1733"/>
      <c r="AA5" s="1733"/>
      <c r="AB5" s="1734"/>
      <c r="AC5" s="115"/>
      <c r="AD5" s="1735" t="s">
        <v>641</v>
      </c>
      <c r="AE5" s="1736"/>
      <c r="AF5" s="1736"/>
      <c r="AG5" s="1736"/>
      <c r="AH5" s="1737"/>
      <c r="AI5" s="1634"/>
      <c r="AJ5" s="1735" t="s">
        <v>645</v>
      </c>
      <c r="AK5" s="1736"/>
      <c r="AL5" s="1736"/>
      <c r="AM5" s="1736"/>
      <c r="AN5" s="1737"/>
      <c r="AO5" s="1686"/>
      <c r="AP5" s="1735" t="s">
        <v>649</v>
      </c>
      <c r="AQ5" s="1736"/>
      <c r="AR5" s="1736"/>
      <c r="AS5" s="1736"/>
      <c r="AT5" s="1737"/>
      <c r="AU5" s="1686"/>
      <c r="AV5" s="1735" t="s">
        <v>659</v>
      </c>
      <c r="AW5" s="1736"/>
      <c r="AX5" s="1736"/>
      <c r="AY5" s="1736"/>
      <c r="AZ5" s="1737"/>
      <c r="BA5" s="1634"/>
      <c r="BB5" s="1735" t="s">
        <v>655</v>
      </c>
      <c r="BC5" s="1736"/>
      <c r="BD5" s="1736"/>
      <c r="BE5" s="1736"/>
      <c r="BF5" s="1737"/>
      <c r="BH5" s="1771" t="s">
        <v>217</v>
      </c>
      <c r="BI5" s="1751" t="s">
        <v>635</v>
      </c>
      <c r="BJ5" s="1752"/>
      <c r="BK5" s="1755"/>
      <c r="BL5" s="1752" t="s">
        <v>638</v>
      </c>
      <c r="BM5" s="1752"/>
      <c r="BN5" s="1755"/>
      <c r="BO5" s="1751" t="s">
        <v>646</v>
      </c>
      <c r="BP5" s="1752"/>
      <c r="BQ5" s="1752"/>
      <c r="BR5" s="1751" t="s">
        <v>650</v>
      </c>
      <c r="BS5" s="1752"/>
      <c r="BT5" s="1755"/>
      <c r="BU5" s="1751" t="s">
        <v>660</v>
      </c>
      <c r="BV5" s="1752"/>
      <c r="BW5" s="1755"/>
      <c r="BX5" s="1751" t="s">
        <v>656</v>
      </c>
      <c r="BY5" s="1752"/>
      <c r="BZ5" s="1755"/>
      <c r="CB5" s="1751" t="s">
        <v>803</v>
      </c>
      <c r="CC5" s="1752"/>
      <c r="CD5" s="1752"/>
      <c r="CE5" s="1755"/>
      <c r="CF5" s="1751" t="s">
        <v>803</v>
      </c>
      <c r="CG5" s="1752"/>
      <c r="CH5" s="1752"/>
      <c r="CI5" s="1755"/>
      <c r="CJ5" s="1751" t="s">
        <v>803</v>
      </c>
      <c r="CK5" s="1752"/>
      <c r="CL5" s="1752"/>
      <c r="CM5" s="1755"/>
    </row>
    <row r="6" spans="1:16381" ht="16.149999999999999" customHeight="1" thickBot="1">
      <c r="A6" s="1738" t="s">
        <v>217</v>
      </c>
      <c r="B6" s="1746" t="s">
        <v>292</v>
      </c>
      <c r="C6" s="306" t="s">
        <v>187</v>
      </c>
      <c r="D6" s="1748" t="s">
        <v>194</v>
      </c>
      <c r="E6" s="1749"/>
      <c r="F6" s="1750"/>
      <c r="G6" s="1748" t="s">
        <v>189</v>
      </c>
      <c r="H6" s="1749"/>
      <c r="I6" s="1750"/>
      <c r="J6" s="1748" t="s">
        <v>192</v>
      </c>
      <c r="K6" s="1750"/>
      <c r="L6" s="507" t="s">
        <v>187</v>
      </c>
      <c r="M6" s="1769" t="s">
        <v>194</v>
      </c>
      <c r="N6" s="1770"/>
      <c r="O6" s="505" t="s">
        <v>189</v>
      </c>
      <c r="P6" s="510" t="s">
        <v>514</v>
      </c>
      <c r="Q6" s="509" t="s">
        <v>187</v>
      </c>
      <c r="R6" s="512" t="s">
        <v>194</v>
      </c>
      <c r="S6" s="512" t="s">
        <v>513</v>
      </c>
      <c r="T6" s="512" t="s">
        <v>517</v>
      </c>
      <c r="U6" s="513">
        <v>4</v>
      </c>
      <c r="W6" s="1730" t="s">
        <v>217</v>
      </c>
      <c r="X6" s="1130" t="s">
        <v>187</v>
      </c>
      <c r="Y6" s="1131" t="s">
        <v>194</v>
      </c>
      <c r="Z6" s="1131" t="s">
        <v>513</v>
      </c>
      <c r="AA6" s="1131" t="s">
        <v>517</v>
      </c>
      <c r="AB6" s="1132">
        <v>4</v>
      </c>
      <c r="AC6" s="104"/>
      <c r="AD6" s="1130" t="s">
        <v>187</v>
      </c>
      <c r="AE6" s="1131" t="s">
        <v>194</v>
      </c>
      <c r="AF6" s="1131" t="s">
        <v>513</v>
      </c>
      <c r="AG6" s="1131" t="s">
        <v>517</v>
      </c>
      <c r="AH6" s="1132">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72"/>
      <c r="BI6" s="1753"/>
      <c r="BJ6" s="1754"/>
      <c r="BK6" s="1756"/>
      <c r="BL6" s="1754"/>
      <c r="BM6" s="1754"/>
      <c r="BN6" s="1756"/>
      <c r="BO6" s="1753"/>
      <c r="BP6" s="1754"/>
      <c r="BQ6" s="1754"/>
      <c r="BR6" s="1753"/>
      <c r="BS6" s="1754"/>
      <c r="BT6" s="1756"/>
      <c r="BU6" s="1753"/>
      <c r="BV6" s="1754"/>
      <c r="BW6" s="1756"/>
      <c r="BX6" s="1753"/>
      <c r="BY6" s="1754"/>
      <c r="BZ6" s="1756"/>
      <c r="CB6" s="1774"/>
      <c r="CC6" s="1775"/>
      <c r="CD6" s="1775"/>
      <c r="CE6" s="1776"/>
      <c r="CF6" s="1774"/>
      <c r="CG6" s="1775"/>
      <c r="CH6" s="1775"/>
      <c r="CI6" s="1776"/>
      <c r="CJ6" s="1774"/>
      <c r="CK6" s="1775"/>
      <c r="CL6" s="1775"/>
      <c r="CM6" s="1776"/>
    </row>
    <row r="7" spans="1:16381" ht="90.75" thickBot="1">
      <c r="A7" s="1739"/>
      <c r="B7" s="1747"/>
      <c r="C7" s="502" t="s">
        <v>233</v>
      </c>
      <c r="D7" s="503" t="s">
        <v>234</v>
      </c>
      <c r="E7" s="1742" t="s">
        <v>176</v>
      </c>
      <c r="F7" s="1743"/>
      <c r="G7" s="1741" t="s">
        <v>284</v>
      </c>
      <c r="H7" s="1742"/>
      <c r="I7" s="1743"/>
      <c r="J7" s="1744" t="s">
        <v>193</v>
      </c>
      <c r="K7" s="1745"/>
      <c r="L7" s="508" t="s">
        <v>233</v>
      </c>
      <c r="M7" s="506" t="s">
        <v>234</v>
      </c>
      <c r="N7" s="506" t="s">
        <v>176</v>
      </c>
      <c r="O7" s="506" t="s">
        <v>284</v>
      </c>
      <c r="P7" s="511" t="s">
        <v>193</v>
      </c>
      <c r="Q7" s="509" t="s">
        <v>233</v>
      </c>
      <c r="R7" s="512" t="s">
        <v>512</v>
      </c>
      <c r="S7" s="512" t="s">
        <v>38</v>
      </c>
      <c r="T7" s="512" t="s">
        <v>193</v>
      </c>
      <c r="U7" s="513" t="s">
        <v>627</v>
      </c>
      <c r="W7" s="1731"/>
      <c r="X7" s="1136" t="s">
        <v>233</v>
      </c>
      <c r="Y7" s="1137" t="s">
        <v>512</v>
      </c>
      <c r="Z7" s="1137" t="s">
        <v>38</v>
      </c>
      <c r="AA7" s="1137" t="s">
        <v>193</v>
      </c>
      <c r="AB7" s="1138" t="s">
        <v>627</v>
      </c>
      <c r="AC7" s="1162" t="s">
        <v>752</v>
      </c>
      <c r="AD7" s="1133" t="s">
        <v>233</v>
      </c>
      <c r="AE7" s="1134" t="s">
        <v>512</v>
      </c>
      <c r="AF7" s="1134" t="s">
        <v>38</v>
      </c>
      <c r="AG7" s="1134" t="s">
        <v>193</v>
      </c>
      <c r="AH7" s="1135" t="s">
        <v>627</v>
      </c>
      <c r="AI7" s="1162" t="s">
        <v>752</v>
      </c>
      <c r="AJ7" s="509" t="s">
        <v>233</v>
      </c>
      <c r="AK7" s="512" t="s">
        <v>512</v>
      </c>
      <c r="AL7" s="512" t="s">
        <v>38</v>
      </c>
      <c r="AM7" s="512" t="s">
        <v>193</v>
      </c>
      <c r="AN7" s="513" t="s">
        <v>627</v>
      </c>
      <c r="AO7" s="1162" t="s">
        <v>752</v>
      </c>
      <c r="AP7" s="509" t="s">
        <v>233</v>
      </c>
      <c r="AQ7" s="512" t="s">
        <v>512</v>
      </c>
      <c r="AR7" s="512" t="s">
        <v>38</v>
      </c>
      <c r="AS7" s="512" t="s">
        <v>193</v>
      </c>
      <c r="AT7" s="513" t="s">
        <v>627</v>
      </c>
      <c r="AU7" s="1162" t="s">
        <v>752</v>
      </c>
      <c r="AV7" s="509" t="s">
        <v>233</v>
      </c>
      <c r="AW7" s="512" t="s">
        <v>512</v>
      </c>
      <c r="AX7" s="512" t="s">
        <v>38</v>
      </c>
      <c r="AY7" s="512" t="s">
        <v>193</v>
      </c>
      <c r="AZ7" s="513" t="s">
        <v>627</v>
      </c>
      <c r="BA7" s="1162" t="s">
        <v>752</v>
      </c>
      <c r="BB7" s="509" t="s">
        <v>233</v>
      </c>
      <c r="BC7" s="512" t="s">
        <v>512</v>
      </c>
      <c r="BD7" s="512" t="s">
        <v>38</v>
      </c>
      <c r="BE7" s="512" t="s">
        <v>193</v>
      </c>
      <c r="BF7" s="513" t="s">
        <v>627</v>
      </c>
      <c r="BG7" s="1162" t="s">
        <v>752</v>
      </c>
      <c r="BH7" s="1772"/>
      <c r="BI7" s="1098" t="s">
        <v>644</v>
      </c>
      <c r="BJ7" s="40" t="s">
        <v>801</v>
      </c>
      <c r="BK7" s="1099" t="s">
        <v>790</v>
      </c>
      <c r="BL7" s="1389" t="s">
        <v>642</v>
      </c>
      <c r="BM7" s="1390" t="s">
        <v>800</v>
      </c>
      <c r="BN7" s="1391" t="s">
        <v>791</v>
      </c>
      <c r="BO7" s="1159"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0" t="s">
        <v>807</v>
      </c>
      <c r="CJ7" s="1098" t="s">
        <v>806</v>
      </c>
      <c r="CK7" s="40" t="s">
        <v>805</v>
      </c>
      <c r="CL7" s="40" t="s">
        <v>802</v>
      </c>
      <c r="CM7" s="1099" t="s">
        <v>804</v>
      </c>
    </row>
    <row r="8" spans="1:16381" ht="15.75" thickBot="1">
      <c r="A8" s="1740"/>
      <c r="B8" s="307" t="s">
        <v>293</v>
      </c>
      <c r="C8" s="307" t="s">
        <v>188</v>
      </c>
      <c r="D8" s="308" t="s">
        <v>188</v>
      </c>
      <c r="E8" s="309" t="s">
        <v>188</v>
      </c>
      <c r="F8" s="310" t="s">
        <v>191</v>
      </c>
      <c r="G8" s="311" t="s">
        <v>190</v>
      </c>
      <c r="H8" s="309" t="s">
        <v>188</v>
      </c>
      <c r="I8" s="310" t="s">
        <v>191</v>
      </c>
      <c r="J8" s="985" t="s">
        <v>188</v>
      </c>
      <c r="K8" s="504" t="s">
        <v>191</v>
      </c>
      <c r="L8" s="1757" t="s">
        <v>515</v>
      </c>
      <c r="M8" s="1758"/>
      <c r="N8" s="1758"/>
      <c r="O8" s="1758"/>
      <c r="P8" s="1759"/>
      <c r="Q8" s="1763" t="s">
        <v>515</v>
      </c>
      <c r="R8" s="1764"/>
      <c r="S8" s="1764"/>
      <c r="T8" s="1764"/>
      <c r="U8" s="1765"/>
      <c r="W8" s="127"/>
      <c r="X8" s="1148" t="s">
        <v>643</v>
      </c>
      <c r="Y8" s="335" t="s">
        <v>643</v>
      </c>
      <c r="Z8" s="335" t="s">
        <v>643</v>
      </c>
      <c r="AA8" s="335" t="s">
        <v>643</v>
      </c>
      <c r="AB8" s="1149" t="s">
        <v>643</v>
      </c>
      <c r="AC8" s="104"/>
      <c r="AD8" s="1146" t="s">
        <v>641</v>
      </c>
      <c r="AE8" s="1139" t="s">
        <v>641</v>
      </c>
      <c r="AF8" s="1139" t="s">
        <v>641</v>
      </c>
      <c r="AG8" s="1139" t="s">
        <v>641</v>
      </c>
      <c r="AH8" s="1140" t="s">
        <v>641</v>
      </c>
      <c r="AI8" s="131"/>
      <c r="AJ8" s="1146" t="s">
        <v>645</v>
      </c>
      <c r="AK8" s="1139" t="s">
        <v>645</v>
      </c>
      <c r="AL8" s="1139" t="s">
        <v>645</v>
      </c>
      <c r="AM8" s="1139" t="s">
        <v>645</v>
      </c>
      <c r="AN8" s="1140" t="s">
        <v>645</v>
      </c>
      <c r="AO8" s="169"/>
      <c r="AP8" s="1146" t="s">
        <v>649</v>
      </c>
      <c r="AQ8" s="1139" t="s">
        <v>649</v>
      </c>
      <c r="AR8" s="1139" t="s">
        <v>649</v>
      </c>
      <c r="AS8" s="1139" t="s">
        <v>649</v>
      </c>
      <c r="AT8" s="1140" t="s">
        <v>649</v>
      </c>
      <c r="AU8" s="169"/>
      <c r="AV8" s="1146" t="s">
        <v>659</v>
      </c>
      <c r="AW8" s="1139" t="s">
        <v>659</v>
      </c>
      <c r="AX8" s="1139" t="s">
        <v>659</v>
      </c>
      <c r="AY8" s="1139" t="s">
        <v>659</v>
      </c>
      <c r="AZ8" s="1140" t="s">
        <v>659</v>
      </c>
      <c r="BA8" s="131"/>
      <c r="BB8" s="1146" t="s">
        <v>655</v>
      </c>
      <c r="BC8" s="1139" t="s">
        <v>655</v>
      </c>
      <c r="BD8" s="1139" t="s">
        <v>655</v>
      </c>
      <c r="BE8" s="1139" t="s">
        <v>655</v>
      </c>
      <c r="BF8" s="1140" t="s">
        <v>655</v>
      </c>
      <c r="BH8" s="1773"/>
      <c r="BI8" s="1153" t="s">
        <v>625</v>
      </c>
      <c r="BJ8" s="1154" t="s">
        <v>229</v>
      </c>
      <c r="BK8" s="1155" t="s">
        <v>625</v>
      </c>
      <c r="BL8" s="1153" t="s">
        <v>625</v>
      </c>
      <c r="BM8" s="1154" t="s">
        <v>229</v>
      </c>
      <c r="BN8" s="1155" t="s">
        <v>625</v>
      </c>
      <c r="BO8" s="1302" t="s">
        <v>625</v>
      </c>
      <c r="BP8" s="1154" t="s">
        <v>229</v>
      </c>
      <c r="BQ8" s="1155" t="s">
        <v>625</v>
      </c>
      <c r="BR8" s="1153" t="s">
        <v>625</v>
      </c>
      <c r="BS8" s="1154" t="s">
        <v>229</v>
      </c>
      <c r="BT8" s="1155" t="s">
        <v>625</v>
      </c>
      <c r="BU8" s="1153" t="s">
        <v>625</v>
      </c>
      <c r="BV8" s="1154" t="s">
        <v>229</v>
      </c>
      <c r="BW8" s="1155" t="s">
        <v>625</v>
      </c>
      <c r="BX8" s="1153" t="s">
        <v>625</v>
      </c>
      <c r="BY8" s="1154" t="s">
        <v>229</v>
      </c>
      <c r="BZ8" s="1155" t="s">
        <v>625</v>
      </c>
      <c r="CB8" s="67" t="s">
        <v>229</v>
      </c>
      <c r="CC8" s="68" t="s">
        <v>229</v>
      </c>
      <c r="CD8" s="1158" t="s">
        <v>229</v>
      </c>
      <c r="CE8" s="68" t="s">
        <v>229</v>
      </c>
      <c r="CF8" s="1158" t="s">
        <v>229</v>
      </c>
      <c r="CG8" s="68" t="s">
        <v>229</v>
      </c>
      <c r="CH8" s="1158" t="s">
        <v>229</v>
      </c>
      <c r="CI8" s="1161" t="s">
        <v>229</v>
      </c>
      <c r="CJ8" s="67" t="s">
        <v>229</v>
      </c>
      <c r="CK8" s="1158" t="s">
        <v>229</v>
      </c>
      <c r="CL8" s="1158"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747.5995646284382</v>
      </c>
      <c r="D10" s="515">
        <f>'4B Biological treatment '!T63</f>
        <v>0</v>
      </c>
      <c r="E10" s="472">
        <f>'4B Biological treatment '!U63</f>
        <v>8.0224619830130912</v>
      </c>
      <c r="F10" s="472">
        <f>'4B Biological treatment '!W63</f>
        <v>0.48134771898078543</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15699.590857197203</v>
      </c>
      <c r="M10" s="515">
        <f t="shared" ref="M10:M25" si="0">D10*$B$3</f>
        <v>0</v>
      </c>
      <c r="N10" s="471">
        <f>E10*$B$3+F10*$C$3</f>
        <v>317.6894945273184</v>
      </c>
      <c r="O10" s="514">
        <f>G10+H10*$B$3+I10*$C$3</f>
        <v>252.83335953932928</v>
      </c>
      <c r="P10" s="471">
        <f>J10*$B$3+K10*$C$3</f>
        <v>2831.8730929925982</v>
      </c>
      <c r="Q10" s="471">
        <f>L10</f>
        <v>15699.590857197203</v>
      </c>
      <c r="R10" s="516">
        <f>M10+N10</f>
        <v>317.6894945273184</v>
      </c>
      <c r="S10" s="514">
        <f>O10</f>
        <v>252.83335953932928</v>
      </c>
      <c r="T10" s="471">
        <f>P10</f>
        <v>2831.8730929925982</v>
      </c>
      <c r="U10" s="471">
        <f>SUM(Q10:T10)</f>
        <v>19101.986804256449</v>
      </c>
      <c r="V10" s="515"/>
      <c r="W10" s="596">
        <f>A10</f>
        <v>2000</v>
      </c>
      <c r="X10" s="1101">
        <f>Q10</f>
        <v>15699.590857197203</v>
      </c>
      <c r="Y10" s="1102">
        <f t="shared" ref="Y10:AA10" si="1">R10</f>
        <v>317.6894945273184</v>
      </c>
      <c r="Z10" s="1102">
        <f t="shared" si="1"/>
        <v>252.83335953932928</v>
      </c>
      <c r="AA10" s="1102">
        <f t="shared" si="1"/>
        <v>2831.8730929925982</v>
      </c>
      <c r="AB10" s="1142">
        <f>SUM(X10:AA10)</f>
        <v>19101.986804256449</v>
      </c>
      <c r="AC10" s="1102"/>
      <c r="AD10" s="1101">
        <f>Q10</f>
        <v>15699.590857197203</v>
      </c>
      <c r="AE10" s="1102">
        <f t="shared" ref="AE10:AG10" si="2">R10</f>
        <v>317.6894945273184</v>
      </c>
      <c r="AF10" s="1102">
        <f t="shared" si="2"/>
        <v>252.83335953932928</v>
      </c>
      <c r="AG10" s="1102">
        <f t="shared" si="2"/>
        <v>2831.8730929925982</v>
      </c>
      <c r="AH10" s="1142">
        <f>SUM(AD10:AG10)</f>
        <v>19101.986804256449</v>
      </c>
      <c r="AI10" s="1421"/>
      <c r="AJ10" s="1101">
        <f>Q10</f>
        <v>15699.590857197203</v>
      </c>
      <c r="AK10" s="1102">
        <f t="shared" ref="AK10:AM10" si="3">R10</f>
        <v>317.6894945273184</v>
      </c>
      <c r="AL10" s="1102">
        <f t="shared" si="3"/>
        <v>252.83335953932928</v>
      </c>
      <c r="AM10" s="1102">
        <f t="shared" si="3"/>
        <v>2831.8730929925982</v>
      </c>
      <c r="AN10" s="1142">
        <f>SUM(AJ10:AM10)</f>
        <v>19101.986804256449</v>
      </c>
      <c r="AO10" s="1418"/>
      <c r="AP10" s="1101">
        <f>Q10</f>
        <v>15699.590857197203</v>
      </c>
      <c r="AQ10" s="1102">
        <f t="shared" ref="AQ10:AS10" si="4">R10</f>
        <v>317.6894945273184</v>
      </c>
      <c r="AR10" s="1102">
        <f t="shared" si="4"/>
        <v>252.83335953932928</v>
      </c>
      <c r="AS10" s="1102">
        <f t="shared" si="4"/>
        <v>2831.8730929925982</v>
      </c>
      <c r="AT10" s="1142">
        <f>SUM(AP10:AS10)</f>
        <v>19101.986804256449</v>
      </c>
      <c r="AU10" s="1414"/>
      <c r="AV10" s="1101">
        <f>X10</f>
        <v>15699.590857197203</v>
      </c>
      <c r="AW10" s="1102">
        <f>Y10</f>
        <v>317.6894945273184</v>
      </c>
      <c r="AX10" s="1102">
        <f>Z10</f>
        <v>252.83335953932928</v>
      </c>
      <c r="AY10" s="1102">
        <f>AA10</f>
        <v>2831.8730929925982</v>
      </c>
      <c r="AZ10" s="1142">
        <f>SUM(AV10:AY10)</f>
        <v>19101.986804256449</v>
      </c>
      <c r="BA10" s="1424"/>
      <c r="BB10" s="1101">
        <f>Q10</f>
        <v>15699.590857197203</v>
      </c>
      <c r="BC10" s="1102">
        <f t="shared" ref="BC10:BE10" si="5">R10</f>
        <v>317.6894945273184</v>
      </c>
      <c r="BD10" s="1102">
        <f t="shared" si="5"/>
        <v>252.83335953932928</v>
      </c>
      <c r="BE10" s="1102">
        <f t="shared" si="5"/>
        <v>2831.8730929925982</v>
      </c>
      <c r="BF10" s="1142">
        <f>SUM(BB10:BE10)</f>
        <v>19101.986804256449</v>
      </c>
      <c r="BG10" s="1426"/>
      <c r="BH10" s="596">
        <f>W10</f>
        <v>2000</v>
      </c>
      <c r="BI10" s="1102">
        <f>'Baseline data (from input)'!AZ56</f>
        <v>80.188323661702427</v>
      </c>
      <c r="BJ10" s="576">
        <f>'Baseline data (from input)'!BA56</f>
        <v>0.14223993776609636</v>
      </c>
      <c r="BK10" s="1103"/>
      <c r="BL10" s="1101">
        <f>BI10</f>
        <v>80.188323661702427</v>
      </c>
      <c r="BM10" s="576">
        <f>BJ10</f>
        <v>0.14223993776609636</v>
      </c>
      <c r="BN10" s="1103"/>
      <c r="BO10" s="1102">
        <f t="shared" ref="BO10:BP26" si="6">BI10</f>
        <v>80.188323661702427</v>
      </c>
      <c r="BP10" s="417">
        <f t="shared" si="6"/>
        <v>0.14223993776609636</v>
      </c>
      <c r="BQ10" s="1103"/>
      <c r="BR10" s="1101">
        <f>'Baseline data (from input)'!AZ56</f>
        <v>80.188323661702427</v>
      </c>
      <c r="BS10" s="417">
        <f>'Baseline data (from input)'!BA56</f>
        <v>0.14223993776609636</v>
      </c>
      <c r="BT10" s="1103"/>
      <c r="BU10" s="1102">
        <f t="shared" ref="BU10:BV26" si="7">BI10</f>
        <v>80.188323661702427</v>
      </c>
      <c r="BV10" s="417">
        <f t="shared" si="7"/>
        <v>0.14223993776609636</v>
      </c>
      <c r="BW10" s="1103"/>
      <c r="BX10" s="1101">
        <f>BU10</f>
        <v>80.188323661702427</v>
      </c>
      <c r="BY10" s="417">
        <f>BV10</f>
        <v>0.14223993776609636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771.20144163921236</v>
      </c>
      <c r="D11" s="3">
        <f>'4B Biological treatment '!T64</f>
        <v>0</v>
      </c>
      <c r="E11" s="178">
        <f>'4B Biological treatment '!U64</f>
        <v>8.215170232401265</v>
      </c>
      <c r="F11" s="178">
        <f>'4B Biological treatment '!W64</f>
        <v>0.49291021394407586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16195.23027442346</v>
      </c>
      <c r="M11" s="3">
        <f t="shared" si="0"/>
        <v>0</v>
      </c>
      <c r="N11" s="419">
        <f t="shared" ref="N11:N27" si="9">E11*$B$3+F11*$C$3</f>
        <v>325.32074120309005</v>
      </c>
      <c r="O11" s="518">
        <f t="shared" ref="O11:O27" si="10">G11+H11*$B$3+I11*$C$3</f>
        <v>258.06241311161995</v>
      </c>
      <c r="P11" s="419">
        <f t="shared" ref="P11:P27" si="11">J11*$B$3+K11*$C$3</f>
        <v>2890.4413774158538</v>
      </c>
      <c r="Q11" s="519">
        <f t="shared" ref="Q11:Q27" si="12">L11</f>
        <v>16195.23027442346</v>
      </c>
      <c r="R11" s="520">
        <f t="shared" ref="R11:R27" si="13">M11+N11</f>
        <v>325.32074120309005</v>
      </c>
      <c r="S11" s="518">
        <f t="shared" ref="S11:S27" si="14">O11</f>
        <v>258.06241311161995</v>
      </c>
      <c r="T11" s="519">
        <f t="shared" ref="T11:T27" si="15">P11</f>
        <v>2890.4413774158538</v>
      </c>
      <c r="U11" s="519">
        <f t="shared" ref="U11:U27" si="16">SUM(Q11:T11)</f>
        <v>19669.054806154025</v>
      </c>
      <c r="V11" s="3"/>
      <c r="W11" s="596">
        <f t="shared" ref="W11:W27" si="17">A11</f>
        <v>2001</v>
      </c>
      <c r="X11" s="1101">
        <f t="shared" ref="X11:X27" si="18">Q11</f>
        <v>16195.23027442346</v>
      </c>
      <c r="Y11" s="1102">
        <f t="shared" ref="Y11:Y27" si="19">R11</f>
        <v>325.32074120309005</v>
      </c>
      <c r="Z11" s="1102">
        <f t="shared" ref="Z11:Z27" si="20">S11</f>
        <v>258.06241311161995</v>
      </c>
      <c r="AA11" s="1102">
        <f t="shared" ref="AA11:AA27" si="21">T11</f>
        <v>2890.4413774158538</v>
      </c>
      <c r="AB11" s="1142">
        <f t="shared" ref="AB11:AB60" si="22">SUM(X11:AA11)</f>
        <v>19669.054806154025</v>
      </c>
      <c r="AC11" s="1102"/>
      <c r="AD11" s="1101">
        <f t="shared" ref="AD11:AD26" si="23">Q11</f>
        <v>16195.23027442346</v>
      </c>
      <c r="AE11" s="1102">
        <f t="shared" ref="AE11:AE27" si="24">R11</f>
        <v>325.32074120309005</v>
      </c>
      <c r="AF11" s="1102">
        <f t="shared" ref="AF11:AF27" si="25">S11</f>
        <v>258.06241311161995</v>
      </c>
      <c r="AG11" s="1102">
        <f t="shared" ref="AG11:AG27" si="26">T11</f>
        <v>2890.4413774158538</v>
      </c>
      <c r="AH11" s="1142">
        <f t="shared" ref="AH11:AH26" si="27">SUM(AD11:AG11)</f>
        <v>19669.054806154025</v>
      </c>
      <c r="AI11" s="1422"/>
      <c r="AJ11" s="1101">
        <f t="shared" ref="AJ11:AJ27" si="28">X11</f>
        <v>16195.23027442346</v>
      </c>
      <c r="AK11" s="1102">
        <f t="shared" ref="AK11:AK27" si="29">Y11</f>
        <v>325.32074120309005</v>
      </c>
      <c r="AL11" s="1102">
        <f t="shared" ref="AL11:AL27" si="30">Z11</f>
        <v>258.06241311161995</v>
      </c>
      <c r="AM11" s="1102">
        <f t="shared" ref="AM11:AM27" si="31">AA11</f>
        <v>2890.4413774158538</v>
      </c>
      <c r="AN11" s="1142">
        <f t="shared" ref="AN11:AN27" si="32">AB11</f>
        <v>19669.054806154025</v>
      </c>
      <c r="AO11" s="1419"/>
      <c r="AP11" s="1101">
        <f t="shared" ref="AP11:AP26" si="33">Q11</f>
        <v>16195.23027442346</v>
      </c>
      <c r="AQ11" s="1102">
        <f t="shared" ref="AQ11:AQ26" si="34">R11</f>
        <v>325.32074120309005</v>
      </c>
      <c r="AR11" s="1102">
        <f t="shared" ref="AR11:AR26" si="35">S11</f>
        <v>258.06241311161995</v>
      </c>
      <c r="AS11" s="1102">
        <f t="shared" ref="AS11:AS26" si="36">T11</f>
        <v>2890.4413774158538</v>
      </c>
      <c r="AT11" s="1142">
        <f t="shared" ref="AT11:AT60" si="37">SUM(AP11:AS11)</f>
        <v>19669.054806154025</v>
      </c>
      <c r="AU11" s="1414"/>
      <c r="AV11" s="1101">
        <f t="shared" ref="AV11:AV27" si="38">X11</f>
        <v>16195.23027442346</v>
      </c>
      <c r="AW11" s="1102">
        <f t="shared" ref="AW11:AW27" si="39">Y11</f>
        <v>325.32074120309005</v>
      </c>
      <c r="AX11" s="1102">
        <f t="shared" ref="AX11:AX27" si="40">Z11</f>
        <v>258.06241311161995</v>
      </c>
      <c r="AY11" s="1102">
        <f t="shared" ref="AY11:AY27" si="41">AA11</f>
        <v>2890.4413774158538</v>
      </c>
      <c r="AZ11" s="1142">
        <f t="shared" ref="AZ11:AZ27" si="42">AB11</f>
        <v>19669.054806154025</v>
      </c>
      <c r="BA11" s="1424"/>
      <c r="BB11" s="1101">
        <f t="shared" ref="BB11:BB27" si="43">Q11</f>
        <v>16195.23027442346</v>
      </c>
      <c r="BC11" s="1102">
        <f t="shared" ref="BC11:BC27" si="44">R11</f>
        <v>325.32074120309005</v>
      </c>
      <c r="BD11" s="1102">
        <f t="shared" ref="BD11:BD27" si="45">S11</f>
        <v>258.06241311161995</v>
      </c>
      <c r="BE11" s="1102">
        <f t="shared" ref="BE11:BE27" si="46">T11</f>
        <v>2890.4413774158538</v>
      </c>
      <c r="BF11" s="1142">
        <f t="shared" ref="BF11:BF60" si="47">SUM(BB11:BE11)</f>
        <v>19669.054806154025</v>
      </c>
      <c r="BG11" s="1427"/>
      <c r="BH11" s="596">
        <f t="shared" ref="BH11:BH60" si="48">W11</f>
        <v>2001</v>
      </c>
      <c r="BI11" s="1102">
        <f>'Baseline data (from input)'!AZ57</f>
        <v>82.192518487402396</v>
      </c>
      <c r="BJ11" s="576">
        <f>'Baseline data (from input)'!BA57</f>
        <v>0.14212687687042144</v>
      </c>
      <c r="BK11" s="1103"/>
      <c r="BL11" s="1101">
        <f t="shared" ref="BL11:BL26" si="49">BI11</f>
        <v>82.192518487402396</v>
      </c>
      <c r="BM11" s="576">
        <f t="shared" ref="BM11:BM26" si="50">BJ11</f>
        <v>0.14212687687042144</v>
      </c>
      <c r="BN11" s="1103"/>
      <c r="BO11" s="1102">
        <f t="shared" si="6"/>
        <v>82.192518487402396</v>
      </c>
      <c r="BP11" s="417">
        <f t="shared" si="6"/>
        <v>0.14212687687042144</v>
      </c>
      <c r="BQ11" s="1103"/>
      <c r="BR11" s="1101">
        <f>'Baseline data (from input)'!AZ57</f>
        <v>82.192518487402396</v>
      </c>
      <c r="BS11" s="417">
        <f>'Baseline data (from input)'!BA57</f>
        <v>0.14212687687042144</v>
      </c>
      <c r="BT11" s="1103"/>
      <c r="BU11" s="1102">
        <f t="shared" si="7"/>
        <v>82.192518487402396</v>
      </c>
      <c r="BV11" s="417">
        <f t="shared" si="7"/>
        <v>0.14212687687042144</v>
      </c>
      <c r="BW11" s="1103"/>
      <c r="BX11" s="1101">
        <f t="shared" ref="BX11:BX25" si="51">BU11</f>
        <v>82.192518487402396</v>
      </c>
      <c r="BY11" s="417">
        <f t="shared" ref="BY11:BY25" si="52">BV11</f>
        <v>0.14212687687042144</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795.07217127238346</v>
      </c>
      <c r="D12" s="3">
        <f>'4B Biological treatment '!T65</f>
        <v>0</v>
      </c>
      <c r="E12" s="178">
        <f>'4B Biological treatment '!U65</f>
        <v>8.4298599460466228</v>
      </c>
      <c r="F12" s="178">
        <f>'4B Biological treatment '!W65</f>
        <v>0.50579159676279739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16696.515596720052</v>
      </c>
      <c r="M12" s="3">
        <f t="shared" si="0"/>
        <v>0</v>
      </c>
      <c r="N12" s="419">
        <f t="shared" si="9"/>
        <v>333.8224538634463</v>
      </c>
      <c r="O12" s="518">
        <f t="shared" si="10"/>
        <v>261.64230363418824</v>
      </c>
      <c r="P12" s="419">
        <f t="shared" si="11"/>
        <v>2930.5381259825444</v>
      </c>
      <c r="Q12" s="519">
        <f t="shared" si="12"/>
        <v>16696.515596720052</v>
      </c>
      <c r="R12" s="520">
        <f t="shared" si="13"/>
        <v>333.8224538634463</v>
      </c>
      <c r="S12" s="518">
        <f t="shared" si="14"/>
        <v>261.64230363418824</v>
      </c>
      <c r="T12" s="519">
        <f t="shared" si="15"/>
        <v>2930.5381259825444</v>
      </c>
      <c r="U12" s="519">
        <f t="shared" si="16"/>
        <v>20222.51848020023</v>
      </c>
      <c r="V12" s="3"/>
      <c r="W12" s="596">
        <f t="shared" si="17"/>
        <v>2002</v>
      </c>
      <c r="X12" s="1101">
        <f t="shared" si="18"/>
        <v>16696.515596720052</v>
      </c>
      <c r="Y12" s="1102">
        <f t="shared" si="19"/>
        <v>333.8224538634463</v>
      </c>
      <c r="Z12" s="1102">
        <f t="shared" si="20"/>
        <v>261.64230363418824</v>
      </c>
      <c r="AA12" s="1102">
        <f t="shared" si="21"/>
        <v>2930.5381259825444</v>
      </c>
      <c r="AB12" s="1142">
        <f t="shared" si="22"/>
        <v>20222.51848020023</v>
      </c>
      <c r="AC12" s="1102"/>
      <c r="AD12" s="1101">
        <f t="shared" si="23"/>
        <v>16696.515596720052</v>
      </c>
      <c r="AE12" s="1102">
        <f t="shared" si="24"/>
        <v>333.8224538634463</v>
      </c>
      <c r="AF12" s="1102">
        <f t="shared" si="25"/>
        <v>261.64230363418824</v>
      </c>
      <c r="AG12" s="1102">
        <f t="shared" si="26"/>
        <v>2930.5381259825444</v>
      </c>
      <c r="AH12" s="1142">
        <f t="shared" si="27"/>
        <v>20222.51848020023</v>
      </c>
      <c r="AI12" s="1422"/>
      <c r="AJ12" s="1101">
        <f t="shared" si="28"/>
        <v>16696.515596720052</v>
      </c>
      <c r="AK12" s="1102">
        <f t="shared" si="29"/>
        <v>333.8224538634463</v>
      </c>
      <c r="AL12" s="1102">
        <f t="shared" si="30"/>
        <v>261.64230363418824</v>
      </c>
      <c r="AM12" s="1102">
        <f t="shared" si="31"/>
        <v>2930.5381259825444</v>
      </c>
      <c r="AN12" s="1142">
        <f t="shared" si="32"/>
        <v>20222.51848020023</v>
      </c>
      <c r="AO12" s="1419"/>
      <c r="AP12" s="1101">
        <f t="shared" si="33"/>
        <v>16696.515596720052</v>
      </c>
      <c r="AQ12" s="1102">
        <f t="shared" si="34"/>
        <v>333.8224538634463</v>
      </c>
      <c r="AR12" s="1102">
        <f t="shared" si="35"/>
        <v>261.64230363418824</v>
      </c>
      <c r="AS12" s="1102">
        <f t="shared" si="36"/>
        <v>2930.5381259825444</v>
      </c>
      <c r="AT12" s="1142">
        <f t="shared" si="37"/>
        <v>20222.51848020023</v>
      </c>
      <c r="AU12" s="1414"/>
      <c r="AV12" s="1101">
        <f t="shared" si="38"/>
        <v>16696.515596720052</v>
      </c>
      <c r="AW12" s="1102">
        <f t="shared" si="39"/>
        <v>333.8224538634463</v>
      </c>
      <c r="AX12" s="1102">
        <f t="shared" si="40"/>
        <v>261.64230363418824</v>
      </c>
      <c r="AY12" s="1102">
        <f t="shared" si="41"/>
        <v>2930.5381259825444</v>
      </c>
      <c r="AZ12" s="1142">
        <f t="shared" si="42"/>
        <v>20222.51848020023</v>
      </c>
      <c r="BA12" s="1424"/>
      <c r="BB12" s="1101">
        <f t="shared" si="43"/>
        <v>16696.515596720052</v>
      </c>
      <c r="BC12" s="1102">
        <f t="shared" si="44"/>
        <v>333.8224538634463</v>
      </c>
      <c r="BD12" s="1102">
        <f t="shared" si="45"/>
        <v>261.64230363418824</v>
      </c>
      <c r="BE12" s="1102">
        <f t="shared" si="46"/>
        <v>2930.5381259825444</v>
      </c>
      <c r="BF12" s="1142">
        <f t="shared" si="47"/>
        <v>20222.51848020023</v>
      </c>
      <c r="BG12" s="1427"/>
      <c r="BH12" s="596">
        <f t="shared" si="48"/>
        <v>2002</v>
      </c>
      <c r="BI12" s="1102">
        <f>'Baseline data (from input)'!AZ58</f>
        <v>84.632747070867467</v>
      </c>
      <c r="BJ12" s="576">
        <f>'Baseline data (from input)'!BA58</f>
        <v>0.14171576136380343</v>
      </c>
      <c r="BK12" s="1103"/>
      <c r="BL12" s="1101">
        <f t="shared" si="49"/>
        <v>84.632747070867467</v>
      </c>
      <c r="BM12" s="576">
        <f t="shared" si="50"/>
        <v>0.14171576136380343</v>
      </c>
      <c r="BN12" s="1103"/>
      <c r="BO12" s="1102">
        <f t="shared" si="6"/>
        <v>84.632747070867467</v>
      </c>
      <c r="BP12" s="417">
        <f t="shared" si="6"/>
        <v>0.14171576136380343</v>
      </c>
      <c r="BQ12" s="1103"/>
      <c r="BR12" s="1101">
        <f>'Baseline data (from input)'!AZ58</f>
        <v>84.632747070867467</v>
      </c>
      <c r="BS12" s="417">
        <f>'Baseline data (from input)'!BA58</f>
        <v>0.14171576136380343</v>
      </c>
      <c r="BT12" s="1103"/>
      <c r="BU12" s="1102">
        <f t="shared" si="7"/>
        <v>84.632747070867467</v>
      </c>
      <c r="BV12" s="417">
        <f t="shared" si="7"/>
        <v>0.14171576136380343</v>
      </c>
      <c r="BW12" s="1103"/>
      <c r="BX12" s="1101">
        <f t="shared" si="51"/>
        <v>84.632747070867467</v>
      </c>
      <c r="BY12" s="417">
        <f t="shared" si="52"/>
        <v>0.14171576136380343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819.34395354900607</v>
      </c>
      <c r="D13" s="3">
        <f>'4B Biological treatment '!T66</f>
        <v>0</v>
      </c>
      <c r="E13" s="178">
        <f>'4B Biological treatment '!U66</f>
        <v>8.6131473735520565</v>
      </c>
      <c r="F13" s="178">
        <f>'4B Biological treatment '!W66</f>
        <v>0.51678884241312339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17206.223024529128</v>
      </c>
      <c r="M13" s="3">
        <f t="shared" si="0"/>
        <v>0</v>
      </c>
      <c r="N13" s="419">
        <f t="shared" si="9"/>
        <v>341.08063599266143</v>
      </c>
      <c r="O13" s="518">
        <f t="shared" si="10"/>
        <v>264.99234564808432</v>
      </c>
      <c r="P13" s="419">
        <f t="shared" si="11"/>
        <v>2968.0604444646974</v>
      </c>
      <c r="Q13" s="519">
        <f t="shared" si="12"/>
        <v>17206.223024529128</v>
      </c>
      <c r="R13" s="520">
        <f t="shared" si="13"/>
        <v>341.08063599266143</v>
      </c>
      <c r="S13" s="518">
        <f t="shared" si="14"/>
        <v>264.99234564808432</v>
      </c>
      <c r="T13" s="519">
        <f t="shared" si="15"/>
        <v>2968.0604444646974</v>
      </c>
      <c r="U13" s="519">
        <f t="shared" si="16"/>
        <v>20780.356450634568</v>
      </c>
      <c r="V13" s="3"/>
      <c r="W13" s="596">
        <f t="shared" si="17"/>
        <v>2003</v>
      </c>
      <c r="X13" s="1101">
        <f t="shared" si="18"/>
        <v>17206.223024529128</v>
      </c>
      <c r="Y13" s="1102">
        <f t="shared" si="19"/>
        <v>341.08063599266143</v>
      </c>
      <c r="Z13" s="1102">
        <f t="shared" si="20"/>
        <v>264.99234564808432</v>
      </c>
      <c r="AA13" s="1102">
        <f t="shared" si="21"/>
        <v>2968.0604444646974</v>
      </c>
      <c r="AB13" s="1142">
        <f t="shared" si="22"/>
        <v>20780.356450634568</v>
      </c>
      <c r="AC13" s="1102"/>
      <c r="AD13" s="1101">
        <f t="shared" si="23"/>
        <v>17206.223024529128</v>
      </c>
      <c r="AE13" s="1102">
        <f t="shared" si="24"/>
        <v>341.08063599266143</v>
      </c>
      <c r="AF13" s="1102">
        <f t="shared" si="25"/>
        <v>264.99234564808432</v>
      </c>
      <c r="AG13" s="1102">
        <f t="shared" si="26"/>
        <v>2968.0604444646974</v>
      </c>
      <c r="AH13" s="1142">
        <f t="shared" si="27"/>
        <v>20780.356450634568</v>
      </c>
      <c r="AI13" s="1422"/>
      <c r="AJ13" s="1101">
        <f t="shared" si="28"/>
        <v>17206.223024529128</v>
      </c>
      <c r="AK13" s="1102">
        <f t="shared" si="29"/>
        <v>341.08063599266143</v>
      </c>
      <c r="AL13" s="1102">
        <f t="shared" si="30"/>
        <v>264.99234564808432</v>
      </c>
      <c r="AM13" s="1102">
        <f t="shared" si="31"/>
        <v>2968.0604444646974</v>
      </c>
      <c r="AN13" s="1142">
        <f t="shared" si="32"/>
        <v>20780.356450634568</v>
      </c>
      <c r="AO13" s="1419"/>
      <c r="AP13" s="1101">
        <f t="shared" si="33"/>
        <v>17206.223024529128</v>
      </c>
      <c r="AQ13" s="1102">
        <f t="shared" si="34"/>
        <v>341.08063599266143</v>
      </c>
      <c r="AR13" s="1102">
        <f t="shared" si="35"/>
        <v>264.99234564808432</v>
      </c>
      <c r="AS13" s="1102">
        <f t="shared" si="36"/>
        <v>2968.0604444646974</v>
      </c>
      <c r="AT13" s="1142">
        <f t="shared" si="37"/>
        <v>20780.356450634568</v>
      </c>
      <c r="AU13" s="1414"/>
      <c r="AV13" s="1101">
        <f t="shared" si="38"/>
        <v>17206.223024529128</v>
      </c>
      <c r="AW13" s="1102">
        <f t="shared" si="39"/>
        <v>341.08063599266143</v>
      </c>
      <c r="AX13" s="1102">
        <f t="shared" si="40"/>
        <v>264.99234564808432</v>
      </c>
      <c r="AY13" s="1102">
        <f t="shared" si="41"/>
        <v>2968.0604444646974</v>
      </c>
      <c r="AZ13" s="1142">
        <f t="shared" si="42"/>
        <v>20780.356450634568</v>
      </c>
      <c r="BA13" s="1424"/>
      <c r="BB13" s="1101">
        <f t="shared" si="43"/>
        <v>17206.223024529128</v>
      </c>
      <c r="BC13" s="1102">
        <f t="shared" si="44"/>
        <v>341.08063599266143</v>
      </c>
      <c r="BD13" s="1102">
        <f t="shared" si="45"/>
        <v>264.99234564808432</v>
      </c>
      <c r="BE13" s="1102">
        <f t="shared" si="46"/>
        <v>2968.0604444646974</v>
      </c>
      <c r="BF13" s="1142">
        <f t="shared" si="47"/>
        <v>20780.356450634568</v>
      </c>
      <c r="BG13" s="1427"/>
      <c r="BH13" s="596">
        <f t="shared" si="48"/>
        <v>2003</v>
      </c>
      <c r="BI13" s="1102">
        <f>'Baseline data (from input)'!AZ59</f>
        <v>86.68891227114166</v>
      </c>
      <c r="BJ13" s="576">
        <f>'Baseline data (from input)'!BA59</f>
        <v>0.14851353327100256</v>
      </c>
      <c r="BK13" s="1103"/>
      <c r="BL13" s="1101">
        <f t="shared" si="49"/>
        <v>86.68891227114166</v>
      </c>
      <c r="BM13" s="576">
        <f t="shared" si="50"/>
        <v>0.14851353327100256</v>
      </c>
      <c r="BN13" s="1103"/>
      <c r="BO13" s="1102">
        <f t="shared" si="6"/>
        <v>86.68891227114166</v>
      </c>
      <c r="BP13" s="417">
        <f t="shared" si="6"/>
        <v>0.14851353327100256</v>
      </c>
      <c r="BQ13" s="1103"/>
      <c r="BR13" s="1101">
        <f>'Baseline data (from input)'!AZ59</f>
        <v>86.68891227114166</v>
      </c>
      <c r="BS13" s="417">
        <f>'Baseline data (from input)'!BA59</f>
        <v>0.14851353327100256</v>
      </c>
      <c r="BT13" s="1103"/>
      <c r="BU13" s="1102">
        <f t="shared" si="7"/>
        <v>86.68891227114166</v>
      </c>
      <c r="BV13" s="417">
        <f t="shared" si="7"/>
        <v>0.14851353327100256</v>
      </c>
      <c r="BW13" s="1103"/>
      <c r="BX13" s="1101">
        <f t="shared" si="51"/>
        <v>86.68891227114166</v>
      </c>
      <c r="BY13" s="417">
        <f t="shared" si="52"/>
        <v>0.14851353327100256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840.61958443899709</v>
      </c>
      <c r="D14" s="3">
        <f>'4B Biological treatment '!T67</f>
        <v>0</v>
      </c>
      <c r="E14" s="178">
        <f>'4B Biological treatment '!U67</f>
        <v>8.8720750845051715</v>
      </c>
      <c r="F14" s="178">
        <f>'4B Biological treatment '!W67</f>
        <v>0.53232450507031026</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17653.011273218937</v>
      </c>
      <c r="M14" s="3">
        <f t="shared" si="0"/>
        <v>0</v>
      </c>
      <c r="N14" s="419">
        <f t="shared" si="9"/>
        <v>351.33417334640478</v>
      </c>
      <c r="O14" s="518">
        <f t="shared" si="10"/>
        <v>268.1470164296091</v>
      </c>
      <c r="P14" s="419">
        <f t="shared" si="11"/>
        <v>3003.3944973749908</v>
      </c>
      <c r="Q14" s="519">
        <f t="shared" si="12"/>
        <v>17653.011273218937</v>
      </c>
      <c r="R14" s="520">
        <f t="shared" si="13"/>
        <v>351.33417334640478</v>
      </c>
      <c r="S14" s="518">
        <f t="shared" si="14"/>
        <v>268.1470164296091</v>
      </c>
      <c r="T14" s="519">
        <f t="shared" si="15"/>
        <v>3003.3944973749908</v>
      </c>
      <c r="U14" s="519">
        <f t="shared" si="16"/>
        <v>21275.886960369939</v>
      </c>
      <c r="V14" s="3"/>
      <c r="W14" s="596">
        <f t="shared" si="17"/>
        <v>2004</v>
      </c>
      <c r="X14" s="1101">
        <f t="shared" si="18"/>
        <v>17653.011273218937</v>
      </c>
      <c r="Y14" s="1102">
        <f t="shared" si="19"/>
        <v>351.33417334640478</v>
      </c>
      <c r="Z14" s="1102">
        <f t="shared" si="20"/>
        <v>268.1470164296091</v>
      </c>
      <c r="AA14" s="1102">
        <f t="shared" si="21"/>
        <v>3003.3944973749908</v>
      </c>
      <c r="AB14" s="1142">
        <f t="shared" si="22"/>
        <v>21275.886960369939</v>
      </c>
      <c r="AC14" s="1102"/>
      <c r="AD14" s="1101">
        <f t="shared" si="23"/>
        <v>17653.011273218937</v>
      </c>
      <c r="AE14" s="1102">
        <f t="shared" si="24"/>
        <v>351.33417334640478</v>
      </c>
      <c r="AF14" s="1102">
        <f t="shared" si="25"/>
        <v>268.1470164296091</v>
      </c>
      <c r="AG14" s="1102">
        <f t="shared" si="26"/>
        <v>3003.3944973749908</v>
      </c>
      <c r="AH14" s="1142">
        <f t="shared" si="27"/>
        <v>21275.886960369939</v>
      </c>
      <c r="AI14" s="1422"/>
      <c r="AJ14" s="1101">
        <f t="shared" si="28"/>
        <v>17653.011273218937</v>
      </c>
      <c r="AK14" s="1102">
        <f t="shared" si="29"/>
        <v>351.33417334640478</v>
      </c>
      <c r="AL14" s="1102">
        <f t="shared" si="30"/>
        <v>268.1470164296091</v>
      </c>
      <c r="AM14" s="1102">
        <f t="shared" si="31"/>
        <v>3003.3944973749908</v>
      </c>
      <c r="AN14" s="1142">
        <f t="shared" si="32"/>
        <v>21275.886960369939</v>
      </c>
      <c r="AO14" s="1419"/>
      <c r="AP14" s="1101">
        <f t="shared" si="33"/>
        <v>17653.011273218937</v>
      </c>
      <c r="AQ14" s="1102">
        <f t="shared" si="34"/>
        <v>351.33417334640478</v>
      </c>
      <c r="AR14" s="1102">
        <f t="shared" si="35"/>
        <v>268.1470164296091</v>
      </c>
      <c r="AS14" s="1102">
        <f t="shared" si="36"/>
        <v>3003.3944973749908</v>
      </c>
      <c r="AT14" s="1142">
        <f t="shared" si="37"/>
        <v>21275.886960369939</v>
      </c>
      <c r="AU14" s="1414"/>
      <c r="AV14" s="1101">
        <f t="shared" si="38"/>
        <v>17653.011273218937</v>
      </c>
      <c r="AW14" s="1102">
        <f t="shared" si="39"/>
        <v>351.33417334640478</v>
      </c>
      <c r="AX14" s="1102">
        <f t="shared" si="40"/>
        <v>268.1470164296091</v>
      </c>
      <c r="AY14" s="1102">
        <f t="shared" si="41"/>
        <v>3003.3944973749908</v>
      </c>
      <c r="AZ14" s="1142">
        <f t="shared" si="42"/>
        <v>21275.886960369939</v>
      </c>
      <c r="BA14" s="1424"/>
      <c r="BB14" s="1101">
        <f t="shared" si="43"/>
        <v>17653.011273218937</v>
      </c>
      <c r="BC14" s="1102">
        <f t="shared" si="44"/>
        <v>351.33417334640478</v>
      </c>
      <c r="BD14" s="1102">
        <f t="shared" si="45"/>
        <v>268.1470164296091</v>
      </c>
      <c r="BE14" s="1102">
        <f t="shared" si="46"/>
        <v>3003.3944973749908</v>
      </c>
      <c r="BF14" s="1142">
        <f t="shared" si="47"/>
        <v>21275.886960369939</v>
      </c>
      <c r="BG14" s="1427"/>
      <c r="BH14" s="596">
        <f t="shared" si="48"/>
        <v>2004</v>
      </c>
      <c r="BI14" s="1102">
        <f>'Baseline data (from input)'!AZ60</f>
        <v>89.739375778625487</v>
      </c>
      <c r="BJ14" s="576">
        <f>'Baseline data (from input)'!BA60</f>
        <v>0.15516280087799594</v>
      </c>
      <c r="BK14" s="1103"/>
      <c r="BL14" s="1101">
        <f t="shared" si="49"/>
        <v>89.739375778625487</v>
      </c>
      <c r="BM14" s="576">
        <f t="shared" si="50"/>
        <v>0.15516280087799594</v>
      </c>
      <c r="BN14" s="1103"/>
      <c r="BO14" s="1102">
        <f t="shared" si="6"/>
        <v>89.739375778625487</v>
      </c>
      <c r="BP14" s="417">
        <f t="shared" si="6"/>
        <v>0.15516280087799594</v>
      </c>
      <c r="BQ14" s="1103"/>
      <c r="BR14" s="1101">
        <f>'Baseline data (from input)'!AZ60</f>
        <v>89.739375778625487</v>
      </c>
      <c r="BS14" s="417">
        <f>'Baseline data (from input)'!BA60</f>
        <v>0.15516280087799594</v>
      </c>
      <c r="BT14" s="1103"/>
      <c r="BU14" s="1102">
        <f t="shared" si="7"/>
        <v>89.739375778625487</v>
      </c>
      <c r="BV14" s="417">
        <f t="shared" si="7"/>
        <v>0.15516280087799594</v>
      </c>
      <c r="BW14" s="1103"/>
      <c r="BX14" s="1101">
        <f t="shared" si="51"/>
        <v>89.739375778625487</v>
      </c>
      <c r="BY14" s="417">
        <f t="shared" si="52"/>
        <v>0.15516280087799594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859.36785637779712</v>
      </c>
      <c r="D15" s="3">
        <f>'4B Biological treatment '!T68</f>
        <v>0</v>
      </c>
      <c r="E15" s="178">
        <f>'4B Biological treatment '!U68</f>
        <v>9.1743886374952961</v>
      </c>
      <c r="F15" s="178">
        <f>'4B Biological treatment '!W68</f>
        <v>0.55046331824971773</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18046.724983933738</v>
      </c>
      <c r="M15" s="3">
        <f t="shared" si="0"/>
        <v>0</v>
      </c>
      <c r="N15" s="419">
        <f t="shared" si="9"/>
        <v>363.30579004481376</v>
      </c>
      <c r="O15" s="518">
        <f t="shared" si="10"/>
        <v>271.20974780766511</v>
      </c>
      <c r="P15" s="419">
        <f t="shared" si="11"/>
        <v>3037.6987782514689</v>
      </c>
      <c r="Q15" s="519">
        <f t="shared" si="12"/>
        <v>18046.724983933738</v>
      </c>
      <c r="R15" s="520">
        <f t="shared" si="13"/>
        <v>363.30579004481376</v>
      </c>
      <c r="S15" s="518">
        <f t="shared" si="14"/>
        <v>271.20974780766511</v>
      </c>
      <c r="T15" s="519">
        <f t="shared" si="15"/>
        <v>3037.6987782514689</v>
      </c>
      <c r="U15" s="519">
        <f t="shared" si="16"/>
        <v>21718.939300037688</v>
      </c>
      <c r="V15" s="3"/>
      <c r="W15" s="596">
        <f t="shared" si="17"/>
        <v>2005</v>
      </c>
      <c r="X15" s="1101">
        <f t="shared" si="18"/>
        <v>18046.724983933738</v>
      </c>
      <c r="Y15" s="1102">
        <f t="shared" si="19"/>
        <v>363.30579004481376</v>
      </c>
      <c r="Z15" s="1102">
        <f t="shared" si="20"/>
        <v>271.20974780766511</v>
      </c>
      <c r="AA15" s="1102">
        <f t="shared" si="21"/>
        <v>3037.6987782514689</v>
      </c>
      <c r="AB15" s="1142">
        <f t="shared" si="22"/>
        <v>21718.939300037688</v>
      </c>
      <c r="AC15" s="1102"/>
      <c r="AD15" s="1101">
        <f t="shared" si="23"/>
        <v>18046.724983933738</v>
      </c>
      <c r="AE15" s="1102">
        <f t="shared" si="24"/>
        <v>363.30579004481376</v>
      </c>
      <c r="AF15" s="1102">
        <f t="shared" si="25"/>
        <v>271.20974780766511</v>
      </c>
      <c r="AG15" s="1102">
        <f t="shared" si="26"/>
        <v>3037.6987782514689</v>
      </c>
      <c r="AH15" s="1142">
        <f t="shared" si="27"/>
        <v>21718.939300037688</v>
      </c>
      <c r="AI15" s="1422"/>
      <c r="AJ15" s="1101">
        <f t="shared" si="28"/>
        <v>18046.724983933738</v>
      </c>
      <c r="AK15" s="1102">
        <f t="shared" si="29"/>
        <v>363.30579004481376</v>
      </c>
      <c r="AL15" s="1102">
        <f t="shared" si="30"/>
        <v>271.20974780766511</v>
      </c>
      <c r="AM15" s="1102">
        <f t="shared" si="31"/>
        <v>3037.6987782514689</v>
      </c>
      <c r="AN15" s="1142">
        <f t="shared" si="32"/>
        <v>21718.939300037688</v>
      </c>
      <c r="AO15" s="1419"/>
      <c r="AP15" s="1101">
        <f t="shared" si="33"/>
        <v>18046.724983933738</v>
      </c>
      <c r="AQ15" s="1102">
        <f t="shared" si="34"/>
        <v>363.30579004481376</v>
      </c>
      <c r="AR15" s="1102">
        <f t="shared" si="35"/>
        <v>271.20974780766511</v>
      </c>
      <c r="AS15" s="1102">
        <f t="shared" si="36"/>
        <v>3037.6987782514689</v>
      </c>
      <c r="AT15" s="1142">
        <f t="shared" si="37"/>
        <v>21718.939300037688</v>
      </c>
      <c r="AU15" s="1414"/>
      <c r="AV15" s="1101">
        <f t="shared" si="38"/>
        <v>18046.724983933738</v>
      </c>
      <c r="AW15" s="1102">
        <f t="shared" si="39"/>
        <v>363.30579004481376</v>
      </c>
      <c r="AX15" s="1102">
        <f t="shared" si="40"/>
        <v>271.20974780766511</v>
      </c>
      <c r="AY15" s="1102">
        <f t="shared" si="41"/>
        <v>3037.6987782514689</v>
      </c>
      <c r="AZ15" s="1142">
        <f t="shared" si="42"/>
        <v>21718.939300037688</v>
      </c>
      <c r="BA15" s="1424"/>
      <c r="BB15" s="1101">
        <f t="shared" si="43"/>
        <v>18046.724983933738</v>
      </c>
      <c r="BC15" s="1102">
        <f t="shared" si="44"/>
        <v>363.30579004481376</v>
      </c>
      <c r="BD15" s="1102">
        <f t="shared" si="45"/>
        <v>271.20974780766511</v>
      </c>
      <c r="BE15" s="1102">
        <f t="shared" si="46"/>
        <v>3037.6987782514689</v>
      </c>
      <c r="BF15" s="1142">
        <f t="shared" si="47"/>
        <v>21718.939300037688</v>
      </c>
      <c r="BG15" s="1427"/>
      <c r="BH15" s="596">
        <f t="shared" si="48"/>
        <v>2005</v>
      </c>
      <c r="BI15" s="1102">
        <f>'Baseline data (from input)'!AZ61</f>
        <v>93.358291455940389</v>
      </c>
      <c r="BJ15" s="576">
        <f>'Baseline data (from input)'!BA61</f>
        <v>0.16187656878153692</v>
      </c>
      <c r="BK15" s="1103"/>
      <c r="BL15" s="1101">
        <f t="shared" si="49"/>
        <v>93.358291455940389</v>
      </c>
      <c r="BM15" s="576">
        <f t="shared" si="50"/>
        <v>0.16187656878153692</v>
      </c>
      <c r="BN15" s="1103"/>
      <c r="BO15" s="1102">
        <f t="shared" si="6"/>
        <v>93.358291455940389</v>
      </c>
      <c r="BP15" s="417">
        <f t="shared" si="6"/>
        <v>0.16187656878153692</v>
      </c>
      <c r="BQ15" s="1103"/>
      <c r="BR15" s="1101">
        <f>'Baseline data (from input)'!AZ61</f>
        <v>93.358291455940389</v>
      </c>
      <c r="BS15" s="417">
        <f>'Baseline data (from input)'!BA61</f>
        <v>0.16187656878153692</v>
      </c>
      <c r="BT15" s="1103"/>
      <c r="BU15" s="1102">
        <f t="shared" si="7"/>
        <v>93.358291455940389</v>
      </c>
      <c r="BV15" s="417">
        <f t="shared" si="7"/>
        <v>0.16187656878153692</v>
      </c>
      <c r="BW15" s="1103"/>
      <c r="BX15" s="1101">
        <f t="shared" si="51"/>
        <v>93.358291455940389</v>
      </c>
      <c r="BY15" s="417">
        <f t="shared" si="52"/>
        <v>0.16187656878153692</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875.72357501711747</v>
      </c>
      <c r="D16" s="3">
        <f>'4B Biological treatment '!T69</f>
        <v>0</v>
      </c>
      <c r="E16" s="178">
        <f>'4B Biological treatment '!U69</f>
        <v>9.5069571111319693</v>
      </c>
      <c r="F16" s="178">
        <f>'4B Biological treatment '!W69</f>
        <v>0.57041742666791817</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18390.195075359468</v>
      </c>
      <c r="M16" s="3">
        <f t="shared" si="0"/>
        <v>0</v>
      </c>
      <c r="N16" s="419">
        <f t="shared" si="9"/>
        <v>376.47550160082596</v>
      </c>
      <c r="O16" s="518">
        <f t="shared" si="10"/>
        <v>274.27247918572107</v>
      </c>
      <c r="P16" s="419">
        <f t="shared" si="11"/>
        <v>3072.0030591279478</v>
      </c>
      <c r="Q16" s="519">
        <f t="shared" si="12"/>
        <v>18390.195075359468</v>
      </c>
      <c r="R16" s="520">
        <f t="shared" si="13"/>
        <v>376.47550160082596</v>
      </c>
      <c r="S16" s="518">
        <f t="shared" si="14"/>
        <v>274.27247918572107</v>
      </c>
      <c r="T16" s="519">
        <f t="shared" si="15"/>
        <v>3072.0030591279478</v>
      </c>
      <c r="U16" s="519">
        <f t="shared" si="16"/>
        <v>22112.946115273964</v>
      </c>
      <c r="V16" s="3"/>
      <c r="W16" s="596">
        <f t="shared" si="17"/>
        <v>2006</v>
      </c>
      <c r="X16" s="1101">
        <f t="shared" si="18"/>
        <v>18390.195075359468</v>
      </c>
      <c r="Y16" s="1102">
        <f t="shared" si="19"/>
        <v>376.47550160082596</v>
      </c>
      <c r="Z16" s="1102">
        <f t="shared" si="20"/>
        <v>274.27247918572107</v>
      </c>
      <c r="AA16" s="1102">
        <f t="shared" si="21"/>
        <v>3072.0030591279478</v>
      </c>
      <c r="AB16" s="1142">
        <f t="shared" si="22"/>
        <v>22112.946115273964</v>
      </c>
      <c r="AC16" s="1102"/>
      <c r="AD16" s="1101">
        <f t="shared" si="23"/>
        <v>18390.195075359468</v>
      </c>
      <c r="AE16" s="1102">
        <f t="shared" si="24"/>
        <v>376.47550160082596</v>
      </c>
      <c r="AF16" s="1102">
        <f t="shared" si="25"/>
        <v>274.27247918572107</v>
      </c>
      <c r="AG16" s="1102">
        <f t="shared" si="26"/>
        <v>3072.0030591279478</v>
      </c>
      <c r="AH16" s="1142">
        <f t="shared" si="27"/>
        <v>22112.946115273964</v>
      </c>
      <c r="AI16" s="1422"/>
      <c r="AJ16" s="1101">
        <f t="shared" si="28"/>
        <v>18390.195075359468</v>
      </c>
      <c r="AK16" s="1102">
        <f t="shared" si="29"/>
        <v>376.47550160082596</v>
      </c>
      <c r="AL16" s="1102">
        <f t="shared" si="30"/>
        <v>274.27247918572107</v>
      </c>
      <c r="AM16" s="1102">
        <f t="shared" si="31"/>
        <v>3072.0030591279478</v>
      </c>
      <c r="AN16" s="1142">
        <f t="shared" si="32"/>
        <v>22112.946115273964</v>
      </c>
      <c r="AO16" s="1419"/>
      <c r="AP16" s="1101">
        <f t="shared" si="33"/>
        <v>18390.195075359468</v>
      </c>
      <c r="AQ16" s="1102">
        <f t="shared" si="34"/>
        <v>376.47550160082596</v>
      </c>
      <c r="AR16" s="1102">
        <f t="shared" si="35"/>
        <v>274.27247918572107</v>
      </c>
      <c r="AS16" s="1102">
        <f t="shared" si="36"/>
        <v>3072.0030591279478</v>
      </c>
      <c r="AT16" s="1142">
        <f t="shared" si="37"/>
        <v>22112.946115273964</v>
      </c>
      <c r="AU16" s="1414"/>
      <c r="AV16" s="1101">
        <f t="shared" si="38"/>
        <v>18390.195075359468</v>
      </c>
      <c r="AW16" s="1102">
        <f t="shared" si="39"/>
        <v>376.47550160082596</v>
      </c>
      <c r="AX16" s="1102">
        <f t="shared" si="40"/>
        <v>274.27247918572107</v>
      </c>
      <c r="AY16" s="1102">
        <f t="shared" si="41"/>
        <v>3072.0030591279478</v>
      </c>
      <c r="AZ16" s="1142">
        <f t="shared" si="42"/>
        <v>22112.946115273964</v>
      </c>
      <c r="BA16" s="1424"/>
      <c r="BB16" s="1101">
        <f t="shared" si="43"/>
        <v>18390.195075359468</v>
      </c>
      <c r="BC16" s="1102">
        <f t="shared" si="44"/>
        <v>376.47550160082596</v>
      </c>
      <c r="BD16" s="1102">
        <f t="shared" si="45"/>
        <v>274.27247918572107</v>
      </c>
      <c r="BE16" s="1102">
        <f t="shared" si="46"/>
        <v>3072.0030591279478</v>
      </c>
      <c r="BF16" s="1142">
        <f t="shared" si="47"/>
        <v>22112.946115273964</v>
      </c>
      <c r="BG16" s="1427"/>
      <c r="BH16" s="596">
        <f t="shared" si="48"/>
        <v>2006</v>
      </c>
      <c r="BI16" s="1102">
        <f>'Baseline data (from input)'!AZ62</f>
        <v>97.367692650767196</v>
      </c>
      <c r="BJ16" s="576">
        <f>'Baseline data (from input)'!BA62</f>
        <v>0.16873910759300498</v>
      </c>
      <c r="BK16" s="1103"/>
      <c r="BL16" s="1101">
        <f t="shared" si="49"/>
        <v>97.367692650767196</v>
      </c>
      <c r="BM16" s="576">
        <f t="shared" si="50"/>
        <v>0.16873910759300498</v>
      </c>
      <c r="BN16" s="1103"/>
      <c r="BO16" s="1102">
        <f t="shared" si="6"/>
        <v>97.367692650767196</v>
      </c>
      <c r="BP16" s="417">
        <f t="shared" si="6"/>
        <v>0.16873910759300498</v>
      </c>
      <c r="BQ16" s="1103"/>
      <c r="BR16" s="1101">
        <f>'Baseline data (from input)'!AZ62</f>
        <v>97.367692650767196</v>
      </c>
      <c r="BS16" s="417">
        <f>'Baseline data (from input)'!BA62</f>
        <v>0.16873910759300498</v>
      </c>
      <c r="BT16" s="1103"/>
      <c r="BU16" s="1102">
        <f t="shared" si="7"/>
        <v>97.367692650767196</v>
      </c>
      <c r="BV16" s="417">
        <f t="shared" si="7"/>
        <v>0.16873910759300498</v>
      </c>
      <c r="BW16" s="1103"/>
      <c r="BX16" s="1101">
        <f t="shared" si="51"/>
        <v>97.367692650767196</v>
      </c>
      <c r="BY16" s="417">
        <f t="shared" si="52"/>
        <v>0.16873910759300498</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889.68294710567761</v>
      </c>
      <c r="D17" s="3">
        <f>'4B Biological treatment '!T70</f>
        <v>0</v>
      </c>
      <c r="E17" s="178">
        <f>'4B Biological treatment '!U70</f>
        <v>9.8418440635703632</v>
      </c>
      <c r="F17" s="178">
        <f>'4B Biological treatment '!W70</f>
        <v>0.5905106438142218</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18683.341889219231</v>
      </c>
      <c r="M17" s="3">
        <f t="shared" si="0"/>
        <v>0</v>
      </c>
      <c r="N17" s="419">
        <f t="shared" si="9"/>
        <v>389.73702491738641</v>
      </c>
      <c r="O17" s="518">
        <f t="shared" si="10"/>
        <v>277.29498707475938</v>
      </c>
      <c r="P17" s="419">
        <f t="shared" si="11"/>
        <v>3105.8568147396318</v>
      </c>
      <c r="Q17" s="519">
        <f t="shared" si="12"/>
        <v>18683.341889219231</v>
      </c>
      <c r="R17" s="520">
        <f t="shared" si="13"/>
        <v>389.73702491738641</v>
      </c>
      <c r="S17" s="518">
        <f t="shared" si="14"/>
        <v>277.29498707475938</v>
      </c>
      <c r="T17" s="519">
        <f t="shared" si="15"/>
        <v>3105.8568147396318</v>
      </c>
      <c r="U17" s="519">
        <f t="shared" si="16"/>
        <v>22456.230715951009</v>
      </c>
      <c r="V17" s="3"/>
      <c r="W17" s="596">
        <f t="shared" si="17"/>
        <v>2007</v>
      </c>
      <c r="X17" s="1101">
        <f t="shared" si="18"/>
        <v>18683.341889219231</v>
      </c>
      <c r="Y17" s="1102">
        <f t="shared" si="19"/>
        <v>389.73702491738641</v>
      </c>
      <c r="Z17" s="1102">
        <f t="shared" si="20"/>
        <v>277.29498707475938</v>
      </c>
      <c r="AA17" s="1102">
        <f t="shared" si="21"/>
        <v>3105.8568147396318</v>
      </c>
      <c r="AB17" s="1142">
        <f t="shared" si="22"/>
        <v>22456.230715951009</v>
      </c>
      <c r="AC17" s="1102"/>
      <c r="AD17" s="1101">
        <f t="shared" si="23"/>
        <v>18683.341889219231</v>
      </c>
      <c r="AE17" s="1102">
        <f t="shared" si="24"/>
        <v>389.73702491738641</v>
      </c>
      <c r="AF17" s="1102">
        <f t="shared" si="25"/>
        <v>277.29498707475938</v>
      </c>
      <c r="AG17" s="1102">
        <f t="shared" si="26"/>
        <v>3105.8568147396318</v>
      </c>
      <c r="AH17" s="1142">
        <f t="shared" si="27"/>
        <v>22456.230715951009</v>
      </c>
      <c r="AI17" s="1422"/>
      <c r="AJ17" s="1101">
        <f t="shared" si="28"/>
        <v>18683.341889219231</v>
      </c>
      <c r="AK17" s="1102">
        <f t="shared" si="29"/>
        <v>389.73702491738641</v>
      </c>
      <c r="AL17" s="1102">
        <f t="shared" si="30"/>
        <v>277.29498707475938</v>
      </c>
      <c r="AM17" s="1102">
        <f t="shared" si="31"/>
        <v>3105.8568147396318</v>
      </c>
      <c r="AN17" s="1142">
        <f t="shared" si="32"/>
        <v>22456.230715951009</v>
      </c>
      <c r="AO17" s="1419"/>
      <c r="AP17" s="1101">
        <f t="shared" si="33"/>
        <v>18683.341889219231</v>
      </c>
      <c r="AQ17" s="1102">
        <f t="shared" si="34"/>
        <v>389.73702491738641</v>
      </c>
      <c r="AR17" s="1102">
        <f t="shared" si="35"/>
        <v>277.29498707475938</v>
      </c>
      <c r="AS17" s="1102">
        <f t="shared" si="36"/>
        <v>3105.8568147396318</v>
      </c>
      <c r="AT17" s="1142">
        <f t="shared" si="37"/>
        <v>22456.230715951009</v>
      </c>
      <c r="AU17" s="1414"/>
      <c r="AV17" s="1101">
        <f t="shared" si="38"/>
        <v>18683.341889219231</v>
      </c>
      <c r="AW17" s="1102">
        <f t="shared" si="39"/>
        <v>389.73702491738641</v>
      </c>
      <c r="AX17" s="1102">
        <f t="shared" si="40"/>
        <v>277.29498707475938</v>
      </c>
      <c r="AY17" s="1102">
        <f t="shared" si="41"/>
        <v>3105.8568147396318</v>
      </c>
      <c r="AZ17" s="1142">
        <f t="shared" si="42"/>
        <v>22456.230715951009</v>
      </c>
      <c r="BA17" s="1424"/>
      <c r="BB17" s="1101">
        <f t="shared" si="43"/>
        <v>18683.341889219231</v>
      </c>
      <c r="BC17" s="1102">
        <f t="shared" si="44"/>
        <v>389.73702491738641</v>
      </c>
      <c r="BD17" s="1102">
        <f t="shared" si="45"/>
        <v>277.29498707475938</v>
      </c>
      <c r="BE17" s="1102">
        <f t="shared" si="46"/>
        <v>3105.8568147396318</v>
      </c>
      <c r="BF17" s="1142">
        <f t="shared" si="47"/>
        <v>22456.230715951009</v>
      </c>
      <c r="BG17" s="1427"/>
      <c r="BH17" s="596">
        <f t="shared" si="48"/>
        <v>2007</v>
      </c>
      <c r="BI17" s="1102">
        <f>'Baseline data (from input)'!AZ63</f>
        <v>101.41073268047464</v>
      </c>
      <c r="BJ17" s="576">
        <f>'Baseline data (from input)'!BA63</f>
        <v>0.17580272896813717</v>
      </c>
      <c r="BK17" s="1103"/>
      <c r="BL17" s="1101">
        <f t="shared" si="49"/>
        <v>101.41073268047464</v>
      </c>
      <c r="BM17" s="576">
        <f t="shared" si="50"/>
        <v>0.17580272896813717</v>
      </c>
      <c r="BN17" s="1103"/>
      <c r="BO17" s="1102">
        <f t="shared" si="6"/>
        <v>101.41073268047464</v>
      </c>
      <c r="BP17" s="417">
        <f t="shared" si="6"/>
        <v>0.17580272896813717</v>
      </c>
      <c r="BQ17" s="1103"/>
      <c r="BR17" s="1101">
        <f>'Baseline data (from input)'!AZ63</f>
        <v>101.41073268047464</v>
      </c>
      <c r="BS17" s="417">
        <f>'Baseline data (from input)'!BA63</f>
        <v>0.17580272896813717</v>
      </c>
      <c r="BT17" s="1103"/>
      <c r="BU17" s="1102">
        <f t="shared" si="7"/>
        <v>101.41073268047464</v>
      </c>
      <c r="BV17" s="417">
        <f t="shared" si="7"/>
        <v>0.17580272896813717</v>
      </c>
      <c r="BW17" s="1103"/>
      <c r="BX17" s="1101">
        <f t="shared" si="51"/>
        <v>101.41073268047464</v>
      </c>
      <c r="BY17" s="417">
        <f t="shared" si="52"/>
        <v>0.17580272896813717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901.08450559142307</v>
      </c>
      <c r="D18" s="3">
        <f>'4B Biological treatment '!T71</f>
        <v>0</v>
      </c>
      <c r="E18" s="178">
        <f>'4B Biological treatment '!U71</f>
        <v>10.069602347249996</v>
      </c>
      <c r="F18" s="178">
        <f>'4B Biological treatment '!W71</f>
        <v>0.60417614083499971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18922.774617419884</v>
      </c>
      <c r="M18" s="3">
        <f t="shared" si="0"/>
        <v>0</v>
      </c>
      <c r="N18" s="419">
        <f t="shared" si="9"/>
        <v>398.75625295109984</v>
      </c>
      <c r="O18" s="518">
        <f t="shared" si="10"/>
        <v>280.37495709096584</v>
      </c>
      <c r="P18" s="419">
        <f t="shared" si="11"/>
        <v>3140.3541778724511</v>
      </c>
      <c r="Q18" s="519">
        <f t="shared" si="12"/>
        <v>18922.774617419884</v>
      </c>
      <c r="R18" s="520">
        <f t="shared" si="13"/>
        <v>398.75625295109984</v>
      </c>
      <c r="S18" s="518">
        <f t="shared" si="14"/>
        <v>280.37495709096584</v>
      </c>
      <c r="T18" s="519">
        <f t="shared" si="15"/>
        <v>3140.3541778724511</v>
      </c>
      <c r="U18" s="519">
        <f t="shared" si="16"/>
        <v>22742.260005334403</v>
      </c>
      <c r="V18" s="3"/>
      <c r="W18" s="596">
        <f t="shared" si="17"/>
        <v>2008</v>
      </c>
      <c r="X18" s="1101">
        <f t="shared" si="18"/>
        <v>18922.774617419884</v>
      </c>
      <c r="Y18" s="1102">
        <f t="shared" si="19"/>
        <v>398.75625295109984</v>
      </c>
      <c r="Z18" s="1102">
        <f t="shared" si="20"/>
        <v>280.37495709096584</v>
      </c>
      <c r="AA18" s="1102">
        <f t="shared" si="21"/>
        <v>3140.3541778724511</v>
      </c>
      <c r="AB18" s="1142">
        <f t="shared" si="22"/>
        <v>22742.260005334403</v>
      </c>
      <c r="AC18" s="1102"/>
      <c r="AD18" s="1101">
        <f t="shared" si="23"/>
        <v>18922.774617419884</v>
      </c>
      <c r="AE18" s="1102">
        <f t="shared" si="24"/>
        <v>398.75625295109984</v>
      </c>
      <c r="AF18" s="1102">
        <f t="shared" si="25"/>
        <v>280.37495709096584</v>
      </c>
      <c r="AG18" s="1102">
        <f t="shared" si="26"/>
        <v>3140.3541778724511</v>
      </c>
      <c r="AH18" s="1142">
        <f t="shared" si="27"/>
        <v>22742.260005334403</v>
      </c>
      <c r="AI18" s="1422"/>
      <c r="AJ18" s="1101">
        <f t="shared" si="28"/>
        <v>18922.774617419884</v>
      </c>
      <c r="AK18" s="1102">
        <f t="shared" si="29"/>
        <v>398.75625295109984</v>
      </c>
      <c r="AL18" s="1102">
        <f t="shared" si="30"/>
        <v>280.37495709096584</v>
      </c>
      <c r="AM18" s="1102">
        <f t="shared" si="31"/>
        <v>3140.3541778724511</v>
      </c>
      <c r="AN18" s="1142">
        <f t="shared" si="32"/>
        <v>22742.260005334403</v>
      </c>
      <c r="AO18" s="1419"/>
      <c r="AP18" s="1101">
        <f t="shared" si="33"/>
        <v>18922.774617419884</v>
      </c>
      <c r="AQ18" s="1102">
        <f t="shared" si="34"/>
        <v>398.75625295109984</v>
      </c>
      <c r="AR18" s="1102">
        <f t="shared" si="35"/>
        <v>280.37495709096584</v>
      </c>
      <c r="AS18" s="1102">
        <f t="shared" si="36"/>
        <v>3140.3541778724511</v>
      </c>
      <c r="AT18" s="1142">
        <f t="shared" si="37"/>
        <v>22742.260005334403</v>
      </c>
      <c r="AU18" s="1414"/>
      <c r="AV18" s="1101">
        <f t="shared" si="38"/>
        <v>18922.774617419884</v>
      </c>
      <c r="AW18" s="1102">
        <f t="shared" si="39"/>
        <v>398.75625295109984</v>
      </c>
      <c r="AX18" s="1102">
        <f t="shared" si="40"/>
        <v>280.37495709096584</v>
      </c>
      <c r="AY18" s="1102">
        <f t="shared" si="41"/>
        <v>3140.3541778724511</v>
      </c>
      <c r="AZ18" s="1142">
        <f t="shared" si="42"/>
        <v>22742.260005334403</v>
      </c>
      <c r="BA18" s="1424"/>
      <c r="BB18" s="1101">
        <f t="shared" si="43"/>
        <v>18922.774617419884</v>
      </c>
      <c r="BC18" s="1102">
        <f t="shared" si="44"/>
        <v>398.75625295109984</v>
      </c>
      <c r="BD18" s="1102">
        <f t="shared" si="45"/>
        <v>280.37495709096584</v>
      </c>
      <c r="BE18" s="1102">
        <f t="shared" si="46"/>
        <v>3140.3541778724511</v>
      </c>
      <c r="BF18" s="1142">
        <f t="shared" si="47"/>
        <v>22742.260005334403</v>
      </c>
      <c r="BG18" s="1427"/>
      <c r="BH18" s="596">
        <f t="shared" si="48"/>
        <v>2008</v>
      </c>
      <c r="BI18" s="1102">
        <f>'Baseline data (from input)'!AZ64</f>
        <v>104.06580753108338</v>
      </c>
      <c r="BJ18" s="576">
        <f>'Baseline data (from input)'!BA64</f>
        <v>0.1831353355645457</v>
      </c>
      <c r="BK18" s="1103"/>
      <c r="BL18" s="1101">
        <f t="shared" si="49"/>
        <v>104.06580753108338</v>
      </c>
      <c r="BM18" s="576">
        <f t="shared" si="50"/>
        <v>0.1831353355645457</v>
      </c>
      <c r="BN18" s="1103"/>
      <c r="BO18" s="1102">
        <f t="shared" si="6"/>
        <v>104.06580753108338</v>
      </c>
      <c r="BP18" s="417">
        <f t="shared" si="6"/>
        <v>0.1831353355645457</v>
      </c>
      <c r="BQ18" s="1103"/>
      <c r="BR18" s="1101">
        <f>'Baseline data (from input)'!AZ64</f>
        <v>104.06580753108338</v>
      </c>
      <c r="BS18" s="417">
        <f>'Baseline data (from input)'!BA64</f>
        <v>0.1831353355645457</v>
      </c>
      <c r="BT18" s="1103"/>
      <c r="BU18" s="1102">
        <f t="shared" si="7"/>
        <v>104.06580753108338</v>
      </c>
      <c r="BV18" s="417">
        <f t="shared" si="7"/>
        <v>0.1831353355645457</v>
      </c>
      <c r="BW18" s="1103"/>
      <c r="BX18" s="1101">
        <f t="shared" si="51"/>
        <v>104.06580753108338</v>
      </c>
      <c r="BY18" s="417">
        <f t="shared" si="52"/>
        <v>0.1831353355645457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909.42389212194837</v>
      </c>
      <c r="D19" s="3">
        <f>'4B Biological treatment '!T72</f>
        <v>0</v>
      </c>
      <c r="E19" s="178">
        <f>'4B Biological treatment '!U72</f>
        <v>10.024540160397191</v>
      </c>
      <c r="F19" s="178">
        <f>'4B Biological treatment '!W72</f>
        <v>0.60147240962383142</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19097.901734560917</v>
      </c>
      <c r="M19" s="3">
        <f t="shared" si="0"/>
        <v>0</v>
      </c>
      <c r="N19" s="419">
        <f t="shared" si="9"/>
        <v>396.97179035172871</v>
      </c>
      <c r="O19" s="518">
        <f t="shared" si="10"/>
        <v>283.40321119272096</v>
      </c>
      <c r="P19" s="419">
        <f t="shared" si="11"/>
        <v>3174.2722942362484</v>
      </c>
      <c r="Q19" s="519">
        <f t="shared" si="12"/>
        <v>19097.901734560917</v>
      </c>
      <c r="R19" s="520">
        <f t="shared" si="13"/>
        <v>396.97179035172871</v>
      </c>
      <c r="S19" s="518">
        <f t="shared" si="14"/>
        <v>283.40321119272096</v>
      </c>
      <c r="T19" s="519">
        <f t="shared" si="15"/>
        <v>3174.2722942362484</v>
      </c>
      <c r="U19" s="519">
        <f t="shared" si="16"/>
        <v>22952.549030341619</v>
      </c>
      <c r="V19" s="3"/>
      <c r="W19" s="596">
        <f t="shared" si="17"/>
        <v>2009</v>
      </c>
      <c r="X19" s="1101">
        <f t="shared" si="18"/>
        <v>19097.901734560917</v>
      </c>
      <c r="Y19" s="1102">
        <f t="shared" si="19"/>
        <v>396.97179035172871</v>
      </c>
      <c r="Z19" s="1102">
        <f t="shared" si="20"/>
        <v>283.40321119272096</v>
      </c>
      <c r="AA19" s="1102">
        <f t="shared" si="21"/>
        <v>3174.2722942362484</v>
      </c>
      <c r="AB19" s="1142">
        <f t="shared" si="22"/>
        <v>22952.549030341619</v>
      </c>
      <c r="AC19" s="1102"/>
      <c r="AD19" s="1101">
        <f t="shared" si="23"/>
        <v>19097.901734560917</v>
      </c>
      <c r="AE19" s="1102">
        <f t="shared" si="24"/>
        <v>396.97179035172871</v>
      </c>
      <c r="AF19" s="1102">
        <f t="shared" si="25"/>
        <v>283.40321119272096</v>
      </c>
      <c r="AG19" s="1102">
        <f t="shared" si="26"/>
        <v>3174.2722942362484</v>
      </c>
      <c r="AH19" s="1142">
        <f t="shared" si="27"/>
        <v>22952.549030341619</v>
      </c>
      <c r="AI19" s="1422"/>
      <c r="AJ19" s="1101">
        <f t="shared" si="28"/>
        <v>19097.901734560917</v>
      </c>
      <c r="AK19" s="1102">
        <f t="shared" si="29"/>
        <v>396.97179035172871</v>
      </c>
      <c r="AL19" s="1102">
        <f t="shared" si="30"/>
        <v>283.40321119272096</v>
      </c>
      <c r="AM19" s="1102">
        <f t="shared" si="31"/>
        <v>3174.2722942362484</v>
      </c>
      <c r="AN19" s="1142">
        <f t="shared" si="32"/>
        <v>22952.549030341619</v>
      </c>
      <c r="AO19" s="1419"/>
      <c r="AP19" s="1101">
        <f t="shared" si="33"/>
        <v>19097.901734560917</v>
      </c>
      <c r="AQ19" s="1102">
        <f t="shared" si="34"/>
        <v>396.97179035172871</v>
      </c>
      <c r="AR19" s="1102">
        <f t="shared" si="35"/>
        <v>283.40321119272096</v>
      </c>
      <c r="AS19" s="1102">
        <f t="shared" si="36"/>
        <v>3174.2722942362484</v>
      </c>
      <c r="AT19" s="1142">
        <f t="shared" si="37"/>
        <v>22952.549030341619</v>
      </c>
      <c r="AU19" s="1414"/>
      <c r="AV19" s="1101">
        <f t="shared" si="38"/>
        <v>19097.901734560917</v>
      </c>
      <c r="AW19" s="1102">
        <f t="shared" si="39"/>
        <v>396.97179035172871</v>
      </c>
      <c r="AX19" s="1102">
        <f t="shared" si="40"/>
        <v>283.40321119272096</v>
      </c>
      <c r="AY19" s="1102">
        <f t="shared" si="41"/>
        <v>3174.2722942362484</v>
      </c>
      <c r="AZ19" s="1142">
        <f t="shared" si="42"/>
        <v>22952.549030341619</v>
      </c>
      <c r="BA19" s="1424"/>
      <c r="BB19" s="1101">
        <f t="shared" si="43"/>
        <v>19097.901734560917</v>
      </c>
      <c r="BC19" s="1102">
        <f t="shared" si="44"/>
        <v>396.97179035172871</v>
      </c>
      <c r="BD19" s="1102">
        <f t="shared" si="45"/>
        <v>283.40321119272096</v>
      </c>
      <c r="BE19" s="1102">
        <f t="shared" si="46"/>
        <v>3174.2722942362484</v>
      </c>
      <c r="BF19" s="1142">
        <f t="shared" si="47"/>
        <v>22952.549030341619</v>
      </c>
      <c r="BG19" s="1427"/>
      <c r="BH19" s="596">
        <f t="shared" si="48"/>
        <v>2009</v>
      </c>
      <c r="BI19" s="1102">
        <f>'Baseline data (from input)'!AZ65</f>
        <v>103.20449840426571</v>
      </c>
      <c r="BJ19" s="576">
        <f>'Baseline data (from input)'!BA65</f>
        <v>0.19067034924452517</v>
      </c>
      <c r="BK19" s="1103"/>
      <c r="BL19" s="1101">
        <f t="shared" si="49"/>
        <v>103.20449840426571</v>
      </c>
      <c r="BM19" s="576">
        <f t="shared" si="50"/>
        <v>0.19067034924452517</v>
      </c>
      <c r="BN19" s="1103"/>
      <c r="BO19" s="1102">
        <f t="shared" si="6"/>
        <v>103.20449840426571</v>
      </c>
      <c r="BP19" s="417">
        <f t="shared" si="6"/>
        <v>0.19067034924452517</v>
      </c>
      <c r="BQ19" s="1103"/>
      <c r="BR19" s="1101">
        <f>'Baseline data (from input)'!AZ65</f>
        <v>103.20449840426571</v>
      </c>
      <c r="BS19" s="417">
        <f>'Baseline data (from input)'!BA65</f>
        <v>0.19067034924452517</v>
      </c>
      <c r="BT19" s="1103"/>
      <c r="BU19" s="1102">
        <f t="shared" si="7"/>
        <v>103.20449840426571</v>
      </c>
      <c r="BV19" s="417">
        <f t="shared" si="7"/>
        <v>0.19067034924452517</v>
      </c>
      <c r="BW19" s="1103"/>
      <c r="BX19" s="1101">
        <f t="shared" si="51"/>
        <v>103.20449840426571</v>
      </c>
      <c r="BY19" s="417">
        <f t="shared" si="52"/>
        <v>0.19067034924452517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913.96545684960563</v>
      </c>
      <c r="D20" s="3">
        <f>'4B Biological treatment '!T73</f>
        <v>0</v>
      </c>
      <c r="E20" s="178">
        <f>'4B Biological treatment '!U73</f>
        <v>11.535315942073929</v>
      </c>
      <c r="F20" s="178">
        <f>'4B Biological treatment '!W73</f>
        <v>0.69211895652443567</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19193.274593841717</v>
      </c>
      <c r="M20" s="3">
        <f t="shared" si="0"/>
        <v>0</v>
      </c>
      <c r="N20" s="419">
        <f t="shared" si="9"/>
        <v>456.79851130612758</v>
      </c>
      <c r="O20" s="518">
        <f t="shared" si="10"/>
        <v>289.10958635758124</v>
      </c>
      <c r="P20" s="419">
        <f t="shared" si="11"/>
        <v>3209.670707898656</v>
      </c>
      <c r="Q20" s="519">
        <f t="shared" si="12"/>
        <v>19193.274593841717</v>
      </c>
      <c r="R20" s="521">
        <f t="shared" si="13"/>
        <v>456.79851130612758</v>
      </c>
      <c r="S20" s="518">
        <f t="shared" si="14"/>
        <v>289.10958635758124</v>
      </c>
      <c r="T20" s="519">
        <f t="shared" si="15"/>
        <v>3209.670707898656</v>
      </c>
      <c r="U20" s="519">
        <f t="shared" si="16"/>
        <v>23148.853399404081</v>
      </c>
      <c r="V20" s="3"/>
      <c r="W20" s="596">
        <f t="shared" si="17"/>
        <v>2010</v>
      </c>
      <c r="X20" s="1101">
        <f t="shared" si="18"/>
        <v>19193.274593841717</v>
      </c>
      <c r="Y20" s="1102">
        <f t="shared" si="19"/>
        <v>456.79851130612758</v>
      </c>
      <c r="Z20" s="1102">
        <f t="shared" si="20"/>
        <v>289.10958635758124</v>
      </c>
      <c r="AA20" s="1102">
        <f t="shared" si="21"/>
        <v>3209.670707898656</v>
      </c>
      <c r="AB20" s="1142">
        <f t="shared" si="22"/>
        <v>23148.853399404081</v>
      </c>
      <c r="AC20" s="1102"/>
      <c r="AD20" s="1101">
        <f t="shared" si="23"/>
        <v>19193.274593841717</v>
      </c>
      <c r="AE20" s="1102">
        <f t="shared" si="24"/>
        <v>456.79851130612758</v>
      </c>
      <c r="AF20" s="1102">
        <f t="shared" si="25"/>
        <v>289.10958635758124</v>
      </c>
      <c r="AG20" s="1102">
        <f t="shared" si="26"/>
        <v>3209.670707898656</v>
      </c>
      <c r="AH20" s="1142">
        <f t="shared" si="27"/>
        <v>23148.853399404081</v>
      </c>
      <c r="AI20" s="1422"/>
      <c r="AJ20" s="1101">
        <f t="shared" si="28"/>
        <v>19193.274593841717</v>
      </c>
      <c r="AK20" s="1102">
        <f t="shared" si="29"/>
        <v>456.79851130612758</v>
      </c>
      <c r="AL20" s="1102">
        <f t="shared" si="30"/>
        <v>289.10958635758124</v>
      </c>
      <c r="AM20" s="1102">
        <f t="shared" si="31"/>
        <v>3209.670707898656</v>
      </c>
      <c r="AN20" s="1142">
        <f t="shared" si="32"/>
        <v>23148.853399404081</v>
      </c>
      <c r="AO20" s="1419"/>
      <c r="AP20" s="1101">
        <f t="shared" si="33"/>
        <v>19193.274593841717</v>
      </c>
      <c r="AQ20" s="1102">
        <f t="shared" si="34"/>
        <v>456.79851130612758</v>
      </c>
      <c r="AR20" s="1102">
        <f t="shared" si="35"/>
        <v>289.10958635758124</v>
      </c>
      <c r="AS20" s="1102">
        <f t="shared" si="36"/>
        <v>3209.670707898656</v>
      </c>
      <c r="AT20" s="1142">
        <f t="shared" si="37"/>
        <v>23148.853399404081</v>
      </c>
      <c r="AU20" s="1414"/>
      <c r="AV20" s="1101">
        <f t="shared" si="38"/>
        <v>19193.274593841717</v>
      </c>
      <c r="AW20" s="1102">
        <f t="shared" si="39"/>
        <v>456.79851130612758</v>
      </c>
      <c r="AX20" s="1102">
        <f t="shared" si="40"/>
        <v>289.10958635758124</v>
      </c>
      <c r="AY20" s="1102">
        <f t="shared" si="41"/>
        <v>3209.670707898656</v>
      </c>
      <c r="AZ20" s="1142">
        <f t="shared" si="42"/>
        <v>23148.853399404081</v>
      </c>
      <c r="BA20" s="1424"/>
      <c r="BB20" s="1101">
        <f t="shared" si="43"/>
        <v>19193.274593841717</v>
      </c>
      <c r="BC20" s="1102">
        <f t="shared" si="44"/>
        <v>456.79851130612758</v>
      </c>
      <c r="BD20" s="1102">
        <f t="shared" si="45"/>
        <v>289.10958635758124</v>
      </c>
      <c r="BE20" s="1102">
        <f t="shared" si="46"/>
        <v>3209.670707898656</v>
      </c>
      <c r="BF20" s="1142">
        <f t="shared" si="47"/>
        <v>23148.853399404081</v>
      </c>
      <c r="BG20" s="1427"/>
      <c r="BH20" s="596">
        <f t="shared" si="48"/>
        <v>2010</v>
      </c>
      <c r="BI20" s="1102">
        <f>'Baseline data (from input)'!AZ66</f>
        <v>104.82940175732732</v>
      </c>
      <c r="BJ20" s="576">
        <f>'Baseline data (from input)'!BA66</f>
        <v>0.20921052286095793</v>
      </c>
      <c r="BK20" s="1103"/>
      <c r="BL20" s="1101">
        <f t="shared" si="49"/>
        <v>104.82940175732732</v>
      </c>
      <c r="BM20" s="576">
        <f t="shared" si="50"/>
        <v>0.20921052286095793</v>
      </c>
      <c r="BN20" s="1103"/>
      <c r="BO20" s="1102">
        <f t="shared" si="6"/>
        <v>104.82940175732732</v>
      </c>
      <c r="BP20" s="417">
        <f t="shared" si="6"/>
        <v>0.20921052286095793</v>
      </c>
      <c r="BQ20" s="1103"/>
      <c r="BR20" s="1101">
        <f>'Baseline data (from input)'!AZ66</f>
        <v>104.82940175732732</v>
      </c>
      <c r="BS20" s="417">
        <f>'Baseline data (from input)'!BA66</f>
        <v>0.20921052286095793</v>
      </c>
      <c r="BT20" s="1103"/>
      <c r="BU20" s="1102">
        <f t="shared" si="7"/>
        <v>104.82940175732732</v>
      </c>
      <c r="BV20" s="417">
        <f t="shared" si="7"/>
        <v>0.20921052286095793</v>
      </c>
      <c r="BW20" s="1103"/>
      <c r="BX20" s="1101">
        <f t="shared" si="51"/>
        <v>104.82940175732732</v>
      </c>
      <c r="BY20" s="417">
        <f t="shared" si="52"/>
        <v>0.20921052286095793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912.89564736811167</v>
      </c>
      <c r="D21" s="3">
        <f>'4B Biological treatment '!T74</f>
        <v>0.19334183325252791</v>
      </c>
      <c r="E21" s="178">
        <f>'4B Biological treatment '!U74</f>
        <v>12.211079229134413</v>
      </c>
      <c r="F21" s="178">
        <f>'4B Biological treatment '!W74</f>
        <v>0.73266475374806461</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19170.808594730344</v>
      </c>
      <c r="M21" s="3">
        <f t="shared" si="0"/>
        <v>4.0601784983030864</v>
      </c>
      <c r="N21" s="419">
        <f t="shared" si="9"/>
        <v>483.55873747372266</v>
      </c>
      <c r="O21" s="518">
        <f t="shared" si="10"/>
        <v>301.9056170360725</v>
      </c>
      <c r="P21" s="419">
        <f t="shared" si="11"/>
        <v>3332.0204976663595</v>
      </c>
      <c r="Q21" s="519">
        <f t="shared" si="12"/>
        <v>19170.808594730344</v>
      </c>
      <c r="R21" s="521">
        <f t="shared" si="13"/>
        <v>487.61891597202572</v>
      </c>
      <c r="S21" s="518">
        <f t="shared" si="14"/>
        <v>301.9056170360725</v>
      </c>
      <c r="T21" s="519">
        <f t="shared" si="15"/>
        <v>3332.0204976663595</v>
      </c>
      <c r="U21" s="519">
        <f t="shared" si="16"/>
        <v>23292.353625404801</v>
      </c>
      <c r="V21" s="3"/>
      <c r="W21" s="596">
        <f t="shared" si="17"/>
        <v>2011</v>
      </c>
      <c r="X21" s="1101">
        <f t="shared" si="18"/>
        <v>19170.808594730344</v>
      </c>
      <c r="Y21" s="1102">
        <f t="shared" si="19"/>
        <v>487.61891597202572</v>
      </c>
      <c r="Z21" s="1102">
        <f t="shared" si="20"/>
        <v>301.9056170360725</v>
      </c>
      <c r="AA21" s="1102">
        <f t="shared" si="21"/>
        <v>3332.0204976663595</v>
      </c>
      <c r="AB21" s="1142">
        <f t="shared" si="22"/>
        <v>23292.353625404801</v>
      </c>
      <c r="AC21" s="1102"/>
      <c r="AD21" s="1101">
        <f t="shared" si="23"/>
        <v>19170.808594730344</v>
      </c>
      <c r="AE21" s="1102">
        <f t="shared" si="24"/>
        <v>487.61891597202572</v>
      </c>
      <c r="AF21" s="1102">
        <f t="shared" si="25"/>
        <v>301.9056170360725</v>
      </c>
      <c r="AG21" s="1102">
        <f t="shared" si="26"/>
        <v>3332.0204976663595</v>
      </c>
      <c r="AH21" s="1142">
        <f t="shared" si="27"/>
        <v>23292.353625404801</v>
      </c>
      <c r="AI21" s="1422"/>
      <c r="AJ21" s="1101">
        <f t="shared" si="28"/>
        <v>19170.808594730344</v>
      </c>
      <c r="AK21" s="1102">
        <f t="shared" si="29"/>
        <v>487.61891597202572</v>
      </c>
      <c r="AL21" s="1102">
        <f t="shared" si="30"/>
        <v>301.9056170360725</v>
      </c>
      <c r="AM21" s="1102">
        <f t="shared" si="31"/>
        <v>3332.0204976663595</v>
      </c>
      <c r="AN21" s="1142">
        <f t="shared" si="32"/>
        <v>23292.353625404801</v>
      </c>
      <c r="AO21" s="1419"/>
      <c r="AP21" s="1101">
        <f t="shared" si="33"/>
        <v>19170.808594730344</v>
      </c>
      <c r="AQ21" s="1102">
        <f t="shared" si="34"/>
        <v>487.61891597202572</v>
      </c>
      <c r="AR21" s="1102">
        <f t="shared" si="35"/>
        <v>301.9056170360725</v>
      </c>
      <c r="AS21" s="1102">
        <f t="shared" si="36"/>
        <v>3332.0204976663595</v>
      </c>
      <c r="AT21" s="1142">
        <f t="shared" si="37"/>
        <v>23292.353625404801</v>
      </c>
      <c r="AU21" s="1414"/>
      <c r="AV21" s="1101">
        <f t="shared" si="38"/>
        <v>19170.808594730344</v>
      </c>
      <c r="AW21" s="1102">
        <f t="shared" si="39"/>
        <v>487.61891597202572</v>
      </c>
      <c r="AX21" s="1102">
        <f t="shared" si="40"/>
        <v>301.9056170360725</v>
      </c>
      <c r="AY21" s="1102">
        <f t="shared" si="41"/>
        <v>3332.0204976663595</v>
      </c>
      <c r="AZ21" s="1142">
        <f t="shared" si="42"/>
        <v>23292.353625404801</v>
      </c>
      <c r="BA21" s="1424"/>
      <c r="BB21" s="1101">
        <f t="shared" si="43"/>
        <v>19170.808594730344</v>
      </c>
      <c r="BC21" s="1102">
        <f t="shared" si="44"/>
        <v>487.61891597202572</v>
      </c>
      <c r="BD21" s="1102">
        <f t="shared" si="45"/>
        <v>301.9056170360725</v>
      </c>
      <c r="BE21" s="1102">
        <f t="shared" si="46"/>
        <v>3332.0204976663595</v>
      </c>
      <c r="BF21" s="1142">
        <f t="shared" si="47"/>
        <v>23292.353625404801</v>
      </c>
      <c r="BG21" s="1427"/>
      <c r="BH21" s="596">
        <f t="shared" si="48"/>
        <v>2011</v>
      </c>
      <c r="BI21" s="1102">
        <f>'Baseline data (from input)'!AZ67</f>
        <v>107.41979413687004</v>
      </c>
      <c r="BJ21" s="576">
        <f>'Baseline data (from input)'!BA67</f>
        <v>0.22744143519612944</v>
      </c>
      <c r="BK21" s="1103"/>
      <c r="BL21" s="1101">
        <f t="shared" si="49"/>
        <v>107.41979413687004</v>
      </c>
      <c r="BM21" s="576">
        <f t="shared" si="50"/>
        <v>0.22744143519612944</v>
      </c>
      <c r="BN21" s="1103"/>
      <c r="BO21" s="1102">
        <f t="shared" si="6"/>
        <v>107.41979413687004</v>
      </c>
      <c r="BP21" s="417">
        <f t="shared" si="6"/>
        <v>0.22744143519612944</v>
      </c>
      <c r="BQ21" s="1103"/>
      <c r="BR21" s="1101">
        <f>'Baseline data (from input)'!AZ67</f>
        <v>107.41979413687004</v>
      </c>
      <c r="BS21" s="417">
        <f>'Baseline data (from input)'!BA67</f>
        <v>0.22744143519612944</v>
      </c>
      <c r="BT21" s="1103"/>
      <c r="BU21" s="1102">
        <f t="shared" si="7"/>
        <v>107.41979413687004</v>
      </c>
      <c r="BV21" s="417">
        <f t="shared" si="7"/>
        <v>0.22744143519612944</v>
      </c>
      <c r="BW21" s="1103"/>
      <c r="BX21" s="1101">
        <f t="shared" si="51"/>
        <v>107.41979413687004</v>
      </c>
      <c r="BY21" s="417">
        <f t="shared" si="52"/>
        <v>0.22744143519612944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907.20403046494505</v>
      </c>
      <c r="D22" s="3">
        <f>'4B Biological treatment '!T75</f>
        <v>0.2082571219057886</v>
      </c>
      <c r="E22" s="178">
        <f>'4B Biological treatment '!U75</f>
        <v>13.491768788014623</v>
      </c>
      <c r="F22" s="178">
        <f>'4B Biological treatment '!W75</f>
        <v>0.80950612728087734</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19051.284639763846</v>
      </c>
      <c r="M22" s="3">
        <f t="shared" si="0"/>
        <v>4.3733995600215607</v>
      </c>
      <c r="N22" s="419">
        <f t="shared" si="9"/>
        <v>534.2740440053791</v>
      </c>
      <c r="O22" s="518">
        <f t="shared" si="10"/>
        <v>306.05640080876935</v>
      </c>
      <c r="P22" s="419">
        <f t="shared" si="11"/>
        <v>3367.704214952827</v>
      </c>
      <c r="Q22" s="519">
        <f t="shared" si="12"/>
        <v>19051.284639763846</v>
      </c>
      <c r="R22" s="521">
        <f t="shared" si="13"/>
        <v>538.64744356540064</v>
      </c>
      <c r="S22" s="518">
        <f t="shared" si="14"/>
        <v>306.05640080876935</v>
      </c>
      <c r="T22" s="519">
        <f t="shared" si="15"/>
        <v>3367.704214952827</v>
      </c>
      <c r="U22" s="519">
        <f t="shared" si="16"/>
        <v>23263.692699090843</v>
      </c>
      <c r="V22" s="3"/>
      <c r="W22" s="596">
        <f t="shared" si="17"/>
        <v>2012</v>
      </c>
      <c r="X22" s="1101">
        <f t="shared" si="18"/>
        <v>19051.284639763846</v>
      </c>
      <c r="Y22" s="1102">
        <f t="shared" si="19"/>
        <v>538.64744356540064</v>
      </c>
      <c r="Z22" s="1102">
        <f t="shared" si="20"/>
        <v>306.05640080876935</v>
      </c>
      <c r="AA22" s="1102">
        <f t="shared" si="21"/>
        <v>3367.704214952827</v>
      </c>
      <c r="AB22" s="1142">
        <f t="shared" si="22"/>
        <v>23263.692699090843</v>
      </c>
      <c r="AC22" s="1102"/>
      <c r="AD22" s="1101">
        <f t="shared" si="23"/>
        <v>19051.284639763846</v>
      </c>
      <c r="AE22" s="1102">
        <f t="shared" si="24"/>
        <v>538.64744356540064</v>
      </c>
      <c r="AF22" s="1102">
        <f t="shared" si="25"/>
        <v>306.05640080876935</v>
      </c>
      <c r="AG22" s="1102">
        <f t="shared" si="26"/>
        <v>3367.704214952827</v>
      </c>
      <c r="AH22" s="1142">
        <f t="shared" si="27"/>
        <v>23263.692699090843</v>
      </c>
      <c r="AI22" s="1422"/>
      <c r="AJ22" s="1101">
        <f t="shared" si="28"/>
        <v>19051.284639763846</v>
      </c>
      <c r="AK22" s="1102">
        <f t="shared" si="29"/>
        <v>538.64744356540064</v>
      </c>
      <c r="AL22" s="1102">
        <f t="shared" si="30"/>
        <v>306.05640080876935</v>
      </c>
      <c r="AM22" s="1102">
        <f t="shared" si="31"/>
        <v>3367.704214952827</v>
      </c>
      <c r="AN22" s="1142">
        <f t="shared" si="32"/>
        <v>23263.692699090843</v>
      </c>
      <c r="AO22" s="1419"/>
      <c r="AP22" s="1101">
        <f t="shared" si="33"/>
        <v>19051.284639763846</v>
      </c>
      <c r="AQ22" s="1102">
        <f t="shared" si="34"/>
        <v>538.64744356540064</v>
      </c>
      <c r="AR22" s="1102">
        <f t="shared" si="35"/>
        <v>306.05640080876935</v>
      </c>
      <c r="AS22" s="1102">
        <f t="shared" si="36"/>
        <v>3367.704214952827</v>
      </c>
      <c r="AT22" s="1142">
        <f t="shared" si="37"/>
        <v>23263.692699090843</v>
      </c>
      <c r="AU22" s="1414"/>
      <c r="AV22" s="1101">
        <f t="shared" si="38"/>
        <v>19051.284639763846</v>
      </c>
      <c r="AW22" s="1102">
        <f t="shared" si="39"/>
        <v>538.64744356540064</v>
      </c>
      <c r="AX22" s="1102">
        <f t="shared" si="40"/>
        <v>306.05640080876935</v>
      </c>
      <c r="AY22" s="1102">
        <f t="shared" si="41"/>
        <v>3367.704214952827</v>
      </c>
      <c r="AZ22" s="1142">
        <f t="shared" si="42"/>
        <v>23263.692699090843</v>
      </c>
      <c r="BA22" s="1424"/>
      <c r="BB22" s="1101">
        <f t="shared" si="43"/>
        <v>19051.284639763846</v>
      </c>
      <c r="BC22" s="1102">
        <f t="shared" si="44"/>
        <v>538.64744356540064</v>
      </c>
      <c r="BD22" s="1102">
        <f t="shared" si="45"/>
        <v>306.05640080876935</v>
      </c>
      <c r="BE22" s="1102">
        <f t="shared" si="46"/>
        <v>3367.704214952827</v>
      </c>
      <c r="BF22" s="1142">
        <f t="shared" si="47"/>
        <v>23263.692699090843</v>
      </c>
      <c r="BG22" s="1427"/>
      <c r="BH22" s="596">
        <f t="shared" si="48"/>
        <v>2012</v>
      </c>
      <c r="BI22" s="1102">
        <f>'Baseline data (from input)'!AZ68</f>
        <v>108.46761087084198</v>
      </c>
      <c r="BJ22" s="576">
        <f>'Baseline data (from input)'!BA68</f>
        <v>0.24495352390298028</v>
      </c>
      <c r="BK22" s="1103"/>
      <c r="BL22" s="1101">
        <f t="shared" si="49"/>
        <v>108.46761087084198</v>
      </c>
      <c r="BM22" s="576">
        <f t="shared" si="50"/>
        <v>0.24495352390298028</v>
      </c>
      <c r="BN22" s="1103"/>
      <c r="BO22" s="1102">
        <f t="shared" si="6"/>
        <v>108.46761087084198</v>
      </c>
      <c r="BP22" s="417">
        <f t="shared" si="6"/>
        <v>0.24495352390298028</v>
      </c>
      <c r="BQ22" s="1103"/>
      <c r="BR22" s="1101">
        <f>'Baseline data (from input)'!AZ68</f>
        <v>108.46761087084198</v>
      </c>
      <c r="BS22" s="417">
        <f>'Baseline data (from input)'!BA68</f>
        <v>0.24495352390298028</v>
      </c>
      <c r="BT22" s="1103"/>
      <c r="BU22" s="1102">
        <f t="shared" si="7"/>
        <v>108.46761087084198</v>
      </c>
      <c r="BV22" s="417">
        <f t="shared" si="7"/>
        <v>0.24495352390298028</v>
      </c>
      <c r="BW22" s="1103"/>
      <c r="BX22" s="1101">
        <f t="shared" si="51"/>
        <v>108.46761087084198</v>
      </c>
      <c r="BY22" s="417">
        <f t="shared" si="52"/>
        <v>0.24495352390298028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896.16711186314876</v>
      </c>
      <c r="D23" s="3">
        <f>'4B Biological treatment '!T76</f>
        <v>0.2233300797027758</v>
      </c>
      <c r="E23" s="178">
        <f>'4B Biological treatment '!U76</f>
        <v>14.759223804745339</v>
      </c>
      <c r="F23" s="178">
        <f>'4B Biological treatment '!W76</f>
        <v>0.88555342828472039</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18819.509349126125</v>
      </c>
      <c r="M23" s="3">
        <f t="shared" si="0"/>
        <v>4.6899316737582915</v>
      </c>
      <c r="N23" s="419">
        <f t="shared" si="9"/>
        <v>584.46526266791545</v>
      </c>
      <c r="O23" s="518">
        <f t="shared" si="10"/>
        <v>310.6538874859516</v>
      </c>
      <c r="P23" s="419">
        <f t="shared" si="11"/>
        <v>3417.8382529883984</v>
      </c>
      <c r="Q23" s="519">
        <f t="shared" si="12"/>
        <v>18819.509349126125</v>
      </c>
      <c r="R23" s="521">
        <f t="shared" si="13"/>
        <v>589.15519434167379</v>
      </c>
      <c r="S23" s="518">
        <f t="shared" si="14"/>
        <v>310.6538874859516</v>
      </c>
      <c r="T23" s="519">
        <f t="shared" si="15"/>
        <v>3417.8382529883984</v>
      </c>
      <c r="U23" s="519">
        <f t="shared" si="16"/>
        <v>23137.15668394215</v>
      </c>
      <c r="V23" s="3"/>
      <c r="W23" s="596">
        <f t="shared" si="17"/>
        <v>2013</v>
      </c>
      <c r="X23" s="1101">
        <f t="shared" si="18"/>
        <v>18819.509349126125</v>
      </c>
      <c r="Y23" s="1102">
        <f t="shared" si="19"/>
        <v>589.15519434167379</v>
      </c>
      <c r="Z23" s="1102">
        <f t="shared" si="20"/>
        <v>310.6538874859516</v>
      </c>
      <c r="AA23" s="1102">
        <f t="shared" si="21"/>
        <v>3417.8382529883984</v>
      </c>
      <c r="AB23" s="1142">
        <f t="shared" si="22"/>
        <v>23137.15668394215</v>
      </c>
      <c r="AC23" s="1102"/>
      <c r="AD23" s="1101">
        <f t="shared" si="23"/>
        <v>18819.509349126125</v>
      </c>
      <c r="AE23" s="1102">
        <f t="shared" si="24"/>
        <v>589.15519434167379</v>
      </c>
      <c r="AF23" s="1102">
        <f t="shared" si="25"/>
        <v>310.6538874859516</v>
      </c>
      <c r="AG23" s="1102">
        <f t="shared" si="26"/>
        <v>3417.8382529883984</v>
      </c>
      <c r="AH23" s="1142">
        <f t="shared" si="27"/>
        <v>23137.15668394215</v>
      </c>
      <c r="AI23" s="1422"/>
      <c r="AJ23" s="1101">
        <f t="shared" si="28"/>
        <v>18819.509349126125</v>
      </c>
      <c r="AK23" s="1102">
        <f t="shared" si="29"/>
        <v>589.15519434167379</v>
      </c>
      <c r="AL23" s="1102">
        <f t="shared" si="30"/>
        <v>310.6538874859516</v>
      </c>
      <c r="AM23" s="1102">
        <f t="shared" si="31"/>
        <v>3417.8382529883984</v>
      </c>
      <c r="AN23" s="1142">
        <f t="shared" si="32"/>
        <v>23137.15668394215</v>
      </c>
      <c r="AO23" s="1419"/>
      <c r="AP23" s="1101">
        <f t="shared" si="33"/>
        <v>18819.509349126125</v>
      </c>
      <c r="AQ23" s="1102">
        <f t="shared" si="34"/>
        <v>589.15519434167379</v>
      </c>
      <c r="AR23" s="1102">
        <f t="shared" si="35"/>
        <v>310.6538874859516</v>
      </c>
      <c r="AS23" s="1102">
        <f t="shared" si="36"/>
        <v>3417.8382529883984</v>
      </c>
      <c r="AT23" s="1142">
        <f t="shared" si="37"/>
        <v>23137.15668394215</v>
      </c>
      <c r="AU23" s="1414"/>
      <c r="AV23" s="1101">
        <f t="shared" si="38"/>
        <v>18819.509349126125</v>
      </c>
      <c r="AW23" s="1102">
        <f t="shared" si="39"/>
        <v>589.15519434167379</v>
      </c>
      <c r="AX23" s="1102">
        <f t="shared" si="40"/>
        <v>310.6538874859516</v>
      </c>
      <c r="AY23" s="1102">
        <f t="shared" si="41"/>
        <v>3417.8382529883984</v>
      </c>
      <c r="AZ23" s="1142">
        <f t="shared" si="42"/>
        <v>23137.15668394215</v>
      </c>
      <c r="BA23" s="1424"/>
      <c r="BB23" s="1101">
        <f t="shared" si="43"/>
        <v>18819.509349126125</v>
      </c>
      <c r="BC23" s="1102">
        <f t="shared" si="44"/>
        <v>589.15519434167379</v>
      </c>
      <c r="BD23" s="1102">
        <f t="shared" si="45"/>
        <v>310.6538874859516</v>
      </c>
      <c r="BE23" s="1102">
        <f t="shared" si="46"/>
        <v>3417.8382529883984</v>
      </c>
      <c r="BF23" s="1142">
        <f t="shared" si="47"/>
        <v>23137.15668394215</v>
      </c>
      <c r="BG23" s="1427"/>
      <c r="BH23" s="596">
        <f t="shared" si="48"/>
        <v>2013</v>
      </c>
      <c r="BI23" s="1102">
        <f>'Baseline data (from input)'!AZ69</f>
        <v>109.97074645761069</v>
      </c>
      <c r="BJ23" s="576">
        <f>'Baseline data (from input)'!BA69</f>
        <v>0.25412456432281788</v>
      </c>
      <c r="BK23" s="1103"/>
      <c r="BL23" s="1101">
        <f t="shared" si="49"/>
        <v>109.97074645761069</v>
      </c>
      <c r="BM23" s="576">
        <f t="shared" si="50"/>
        <v>0.25412456432281788</v>
      </c>
      <c r="BN23" s="1103"/>
      <c r="BO23" s="1102">
        <f t="shared" si="6"/>
        <v>109.97074645761069</v>
      </c>
      <c r="BP23" s="417">
        <f t="shared" si="6"/>
        <v>0.25412456432281788</v>
      </c>
      <c r="BQ23" s="1103"/>
      <c r="BR23" s="1101">
        <f>'Baseline data (from input)'!AZ69</f>
        <v>109.97074645761069</v>
      </c>
      <c r="BS23" s="417">
        <f>'Baseline data (from input)'!BA69</f>
        <v>0.25412456432281788</v>
      </c>
      <c r="BT23" s="1103"/>
      <c r="BU23" s="1102">
        <f t="shared" si="7"/>
        <v>109.97074645761069</v>
      </c>
      <c r="BV23" s="417">
        <f t="shared" si="7"/>
        <v>0.25412456432281788</v>
      </c>
      <c r="BW23" s="1103"/>
      <c r="BX23" s="1101">
        <f t="shared" si="51"/>
        <v>109.97074645761069</v>
      </c>
      <c r="BY23" s="417">
        <f t="shared" si="52"/>
        <v>0.25412456432281788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883.64256829584781</v>
      </c>
      <c r="D24" s="3">
        <f>'4B Biological treatment '!T77</f>
        <v>0.23671892495327568</v>
      </c>
      <c r="E24" s="178">
        <f>'4B Biological treatment '!U77</f>
        <v>15.915858805609473</v>
      </c>
      <c r="F24" s="178">
        <f>'4B Biological treatment '!W77</f>
        <v>0.95495152833656827</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18556.493934212805</v>
      </c>
      <c r="M24" s="3">
        <f t="shared" si="0"/>
        <v>4.9710974240187893</v>
      </c>
      <c r="N24" s="419">
        <f t="shared" si="9"/>
        <v>630.26800870213515</v>
      </c>
      <c r="O24" s="518">
        <f t="shared" si="10"/>
        <v>314.51894299876597</v>
      </c>
      <c r="P24" s="419">
        <f t="shared" si="11"/>
        <v>3469.8404041167237</v>
      </c>
      <c r="Q24" s="519">
        <f t="shared" si="12"/>
        <v>18556.493934212805</v>
      </c>
      <c r="R24" s="521">
        <f t="shared" si="13"/>
        <v>635.23910612615396</v>
      </c>
      <c r="S24" s="518">
        <f t="shared" si="14"/>
        <v>314.51894299876597</v>
      </c>
      <c r="T24" s="519">
        <f t="shared" si="15"/>
        <v>3469.8404041167237</v>
      </c>
      <c r="U24" s="519">
        <f t="shared" si="16"/>
        <v>22976.09238745445</v>
      </c>
      <c r="V24" s="3"/>
      <c r="W24" s="596">
        <f t="shared" si="17"/>
        <v>2014</v>
      </c>
      <c r="X24" s="1101">
        <f t="shared" si="18"/>
        <v>18556.493934212805</v>
      </c>
      <c r="Y24" s="1102">
        <f t="shared" si="19"/>
        <v>635.23910612615396</v>
      </c>
      <c r="Z24" s="1102">
        <f t="shared" si="20"/>
        <v>314.51894299876597</v>
      </c>
      <c r="AA24" s="1102">
        <f t="shared" si="21"/>
        <v>3469.8404041167237</v>
      </c>
      <c r="AB24" s="1142">
        <f t="shared" si="22"/>
        <v>22976.09238745445</v>
      </c>
      <c r="AC24" s="1102"/>
      <c r="AD24" s="1101">
        <f t="shared" si="23"/>
        <v>18556.493934212805</v>
      </c>
      <c r="AE24" s="1102">
        <f t="shared" si="24"/>
        <v>635.23910612615396</v>
      </c>
      <c r="AF24" s="1102">
        <f t="shared" si="25"/>
        <v>314.51894299876597</v>
      </c>
      <c r="AG24" s="1102">
        <f t="shared" si="26"/>
        <v>3469.8404041167237</v>
      </c>
      <c r="AH24" s="1142">
        <f t="shared" si="27"/>
        <v>22976.09238745445</v>
      </c>
      <c r="AI24" s="1422"/>
      <c r="AJ24" s="1101">
        <f t="shared" si="28"/>
        <v>18556.493934212805</v>
      </c>
      <c r="AK24" s="1102">
        <f t="shared" si="29"/>
        <v>635.23910612615396</v>
      </c>
      <c r="AL24" s="1102">
        <f t="shared" si="30"/>
        <v>314.51894299876597</v>
      </c>
      <c r="AM24" s="1102">
        <f t="shared" si="31"/>
        <v>3469.8404041167237</v>
      </c>
      <c r="AN24" s="1142">
        <f t="shared" si="32"/>
        <v>22976.09238745445</v>
      </c>
      <c r="AO24" s="1419"/>
      <c r="AP24" s="1101">
        <f t="shared" si="33"/>
        <v>18556.493934212805</v>
      </c>
      <c r="AQ24" s="1102">
        <f t="shared" si="34"/>
        <v>635.23910612615396</v>
      </c>
      <c r="AR24" s="1102">
        <f t="shared" si="35"/>
        <v>314.51894299876597</v>
      </c>
      <c r="AS24" s="1102">
        <f t="shared" si="36"/>
        <v>3469.8404041167237</v>
      </c>
      <c r="AT24" s="1142">
        <f t="shared" si="37"/>
        <v>22976.09238745445</v>
      </c>
      <c r="AU24" s="1414"/>
      <c r="AV24" s="1101">
        <f t="shared" si="38"/>
        <v>18556.493934212805</v>
      </c>
      <c r="AW24" s="1102">
        <f t="shared" si="39"/>
        <v>635.23910612615396</v>
      </c>
      <c r="AX24" s="1102">
        <f t="shared" si="40"/>
        <v>314.51894299876597</v>
      </c>
      <c r="AY24" s="1102">
        <f t="shared" si="41"/>
        <v>3469.8404041167237</v>
      </c>
      <c r="AZ24" s="1142">
        <f t="shared" si="42"/>
        <v>22976.09238745445</v>
      </c>
      <c r="BA24" s="1424"/>
      <c r="BB24" s="1101">
        <f t="shared" si="43"/>
        <v>18556.493934212805</v>
      </c>
      <c r="BC24" s="1102">
        <f t="shared" si="44"/>
        <v>635.23910612615396</v>
      </c>
      <c r="BD24" s="1102">
        <f t="shared" si="45"/>
        <v>314.51894299876597</v>
      </c>
      <c r="BE24" s="1102">
        <f t="shared" si="46"/>
        <v>3469.8404041167237</v>
      </c>
      <c r="BF24" s="1142">
        <f t="shared" si="47"/>
        <v>22976.09238745445</v>
      </c>
      <c r="BG24" s="1427"/>
      <c r="BH24" s="596">
        <f t="shared" si="48"/>
        <v>2014</v>
      </c>
      <c r="BI24" s="1102">
        <f>'Baseline data (from input)'!AZ70</f>
        <v>110.82317528949993</v>
      </c>
      <c r="BJ24" s="576">
        <f>'Baseline data (from input)'!BA70</f>
        <v>0.26281715323754568</v>
      </c>
      <c r="BK24" s="1103"/>
      <c r="BL24" s="1101">
        <f t="shared" si="49"/>
        <v>110.82317528949993</v>
      </c>
      <c r="BM24" s="576">
        <f t="shared" si="50"/>
        <v>0.26281715323754568</v>
      </c>
      <c r="BN24" s="1103"/>
      <c r="BO24" s="1102">
        <f t="shared" si="6"/>
        <v>110.82317528949993</v>
      </c>
      <c r="BP24" s="417">
        <f t="shared" si="6"/>
        <v>0.26281715323754568</v>
      </c>
      <c r="BQ24" s="1103"/>
      <c r="BR24" s="1101">
        <f>'Baseline data (from input)'!AZ70</f>
        <v>110.82317528949993</v>
      </c>
      <c r="BS24" s="417">
        <f>'Baseline data (from input)'!BA70</f>
        <v>0.26281715323754568</v>
      </c>
      <c r="BT24" s="1103"/>
      <c r="BU24" s="1102">
        <f t="shared" si="7"/>
        <v>110.82317528949993</v>
      </c>
      <c r="BV24" s="417">
        <f t="shared" si="7"/>
        <v>0.26281715323754568</v>
      </c>
      <c r="BW24" s="1103"/>
      <c r="BX24" s="1101">
        <f t="shared" si="51"/>
        <v>110.82317528949993</v>
      </c>
      <c r="BY24" s="417">
        <f t="shared" si="52"/>
        <v>0.26281715323754568</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869.71305919348606</v>
      </c>
      <c r="D25" s="3">
        <f>'4B Biological treatment '!T78</f>
        <v>0.24872431455830615</v>
      </c>
      <c r="E25" s="178">
        <f>'4B Biological treatment '!U78</f>
        <v>16.973700880575333</v>
      </c>
      <c r="F25" s="178">
        <f>'4B Biological treatment '!W78</f>
        <v>1.01842205283452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18263.974243063207</v>
      </c>
      <c r="M25" s="3">
        <f t="shared" si="0"/>
        <v>5.2232106057244296</v>
      </c>
      <c r="N25" s="419">
        <f t="shared" si="9"/>
        <v>672.15855487078329</v>
      </c>
      <c r="O25" s="518">
        <f t="shared" si="10"/>
        <v>317.61605794264813</v>
      </c>
      <c r="P25" s="419">
        <f t="shared" si="11"/>
        <v>3523.7828087751991</v>
      </c>
      <c r="Q25" s="519">
        <f t="shared" si="12"/>
        <v>18263.974243063207</v>
      </c>
      <c r="R25" s="521">
        <f t="shared" si="13"/>
        <v>677.38176547650767</v>
      </c>
      <c r="S25" s="518">
        <f t="shared" si="14"/>
        <v>317.61605794264813</v>
      </c>
      <c r="T25" s="519">
        <f t="shared" si="15"/>
        <v>3523.7828087751991</v>
      </c>
      <c r="U25" s="519">
        <f t="shared" si="16"/>
        <v>22782.75487525756</v>
      </c>
      <c r="V25" s="3"/>
      <c r="W25" s="596">
        <f t="shared" si="17"/>
        <v>2015</v>
      </c>
      <c r="X25" s="1101">
        <f t="shared" si="18"/>
        <v>18263.974243063207</v>
      </c>
      <c r="Y25" s="1102">
        <f t="shared" si="19"/>
        <v>677.38176547650767</v>
      </c>
      <c r="Z25" s="1102">
        <f t="shared" si="20"/>
        <v>317.61605794264813</v>
      </c>
      <c r="AA25" s="1102">
        <f t="shared" si="21"/>
        <v>3523.7828087751991</v>
      </c>
      <c r="AB25" s="1142">
        <f t="shared" si="22"/>
        <v>22782.75487525756</v>
      </c>
      <c r="AC25" s="1102"/>
      <c r="AD25" s="1101">
        <f t="shared" si="23"/>
        <v>18263.974243063207</v>
      </c>
      <c r="AE25" s="1102">
        <f t="shared" si="24"/>
        <v>677.38176547650767</v>
      </c>
      <c r="AF25" s="1102">
        <f t="shared" si="25"/>
        <v>317.61605794264813</v>
      </c>
      <c r="AG25" s="1102">
        <f t="shared" si="26"/>
        <v>3523.7828087751991</v>
      </c>
      <c r="AH25" s="1142">
        <f t="shared" si="27"/>
        <v>22782.75487525756</v>
      </c>
      <c r="AI25" s="1422"/>
      <c r="AJ25" s="1101">
        <f t="shared" si="28"/>
        <v>18263.974243063207</v>
      </c>
      <c r="AK25" s="1102">
        <f t="shared" si="29"/>
        <v>677.38176547650767</v>
      </c>
      <c r="AL25" s="1102">
        <f t="shared" si="30"/>
        <v>317.61605794264813</v>
      </c>
      <c r="AM25" s="1102">
        <f t="shared" si="31"/>
        <v>3523.7828087751991</v>
      </c>
      <c r="AN25" s="1142">
        <f t="shared" si="32"/>
        <v>22782.75487525756</v>
      </c>
      <c r="AO25" s="1419"/>
      <c r="AP25" s="1101">
        <f t="shared" si="33"/>
        <v>18263.974243063207</v>
      </c>
      <c r="AQ25" s="1102">
        <f t="shared" si="34"/>
        <v>677.38176547650767</v>
      </c>
      <c r="AR25" s="1102">
        <f t="shared" si="35"/>
        <v>317.61605794264813</v>
      </c>
      <c r="AS25" s="1102">
        <f t="shared" si="36"/>
        <v>3523.7828087751991</v>
      </c>
      <c r="AT25" s="1142">
        <f t="shared" si="37"/>
        <v>22782.75487525756</v>
      </c>
      <c r="AU25" s="1414"/>
      <c r="AV25" s="1101">
        <f t="shared" si="38"/>
        <v>18263.974243063207</v>
      </c>
      <c r="AW25" s="1102">
        <f t="shared" si="39"/>
        <v>677.38176547650767</v>
      </c>
      <c r="AX25" s="1102">
        <f t="shared" si="40"/>
        <v>317.61605794264813</v>
      </c>
      <c r="AY25" s="1102">
        <f t="shared" si="41"/>
        <v>3523.7828087751991</v>
      </c>
      <c r="AZ25" s="1142">
        <f t="shared" si="42"/>
        <v>22782.75487525756</v>
      </c>
      <c r="BA25" s="1424"/>
      <c r="BB25" s="1101">
        <f t="shared" si="43"/>
        <v>18263.974243063207</v>
      </c>
      <c r="BC25" s="1102">
        <f t="shared" si="44"/>
        <v>677.38176547650767</v>
      </c>
      <c r="BD25" s="1102">
        <f t="shared" si="45"/>
        <v>317.61605794264813</v>
      </c>
      <c r="BE25" s="1102">
        <f t="shared" si="46"/>
        <v>3523.7828087751991</v>
      </c>
      <c r="BF25" s="1142">
        <f t="shared" si="47"/>
        <v>22782.75487525756</v>
      </c>
      <c r="BG25" s="1427"/>
      <c r="BH25" s="596">
        <f t="shared" si="48"/>
        <v>2015</v>
      </c>
      <c r="BI25" s="1102">
        <f>'Baseline data (from input)'!AZ71</f>
        <v>111.237148145329</v>
      </c>
      <c r="BJ25" s="576">
        <f>'Baseline data (from input)'!BA71</f>
        <v>0.27107274020628741</v>
      </c>
      <c r="BK25" s="1103"/>
      <c r="BL25" s="1101">
        <f t="shared" si="49"/>
        <v>111.237148145329</v>
      </c>
      <c r="BM25" s="576">
        <f t="shared" si="50"/>
        <v>0.27107274020628741</v>
      </c>
      <c r="BN25" s="1103"/>
      <c r="BO25" s="1102">
        <f t="shared" si="6"/>
        <v>111.237148145329</v>
      </c>
      <c r="BP25" s="417">
        <f t="shared" si="6"/>
        <v>0.27107274020628741</v>
      </c>
      <c r="BQ25" s="1103"/>
      <c r="BR25" s="1101">
        <f>'Baseline data (from input)'!AZ71</f>
        <v>111.237148145329</v>
      </c>
      <c r="BS25" s="417">
        <f>'Baseline data (from input)'!BA71</f>
        <v>0.27107274020628741</v>
      </c>
      <c r="BT25" s="1103"/>
      <c r="BU25" s="1102">
        <f t="shared" si="7"/>
        <v>111.237148145329</v>
      </c>
      <c r="BV25" s="417">
        <f t="shared" si="7"/>
        <v>0.27107274020628741</v>
      </c>
      <c r="BW25" s="1103"/>
      <c r="BX25" s="1101">
        <f t="shared" si="51"/>
        <v>111.237148145329</v>
      </c>
      <c r="BY25" s="417">
        <f t="shared" si="52"/>
        <v>0.27107274020628741</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854.47623809287529</v>
      </c>
      <c r="D26" s="3">
        <f>'4B Biological treatment '!T79</f>
        <v>0.25929726721956436</v>
      </c>
      <c r="E26" s="178">
        <f>'4B Biological treatment '!U79</f>
        <v>17.928908489418596</v>
      </c>
      <c r="F26" s="178">
        <f>'4B Biological treatment '!W79</f>
        <v>1.0757345093651158</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17944.000999950382</v>
      </c>
      <c r="M26" s="3">
        <f t="shared" ref="M26:M27" si="53">D26*$B$3</f>
        <v>5.4452426116108512</v>
      </c>
      <c r="N26" s="419">
        <f t="shared" si="9"/>
        <v>709.9847761809765</v>
      </c>
      <c r="O26" s="518">
        <f t="shared" si="10"/>
        <v>319.90690368827416</v>
      </c>
      <c r="P26" s="419">
        <f t="shared" si="11"/>
        <v>3579.7412011442502</v>
      </c>
      <c r="Q26" s="519">
        <f t="shared" si="12"/>
        <v>17944.000999950382</v>
      </c>
      <c r="R26" s="521">
        <f t="shared" si="13"/>
        <v>715.43001879258736</v>
      </c>
      <c r="S26" s="518">
        <f t="shared" si="14"/>
        <v>319.90690368827416</v>
      </c>
      <c r="T26" s="519">
        <f t="shared" si="15"/>
        <v>3579.7412011442502</v>
      </c>
      <c r="U26" s="519">
        <f t="shared" si="16"/>
        <v>22559.079123575495</v>
      </c>
      <c r="V26" s="3"/>
      <c r="W26" s="596">
        <f t="shared" si="17"/>
        <v>2016</v>
      </c>
      <c r="X26" s="1101">
        <f t="shared" si="18"/>
        <v>17944.000999950382</v>
      </c>
      <c r="Y26" s="1102">
        <f t="shared" si="19"/>
        <v>715.43001879258736</v>
      </c>
      <c r="Z26" s="1102">
        <f t="shared" si="20"/>
        <v>319.90690368827416</v>
      </c>
      <c r="AA26" s="1102">
        <f t="shared" si="21"/>
        <v>3579.7412011442502</v>
      </c>
      <c r="AB26" s="1142">
        <f t="shared" si="22"/>
        <v>22559.079123575495</v>
      </c>
      <c r="AC26" s="1102"/>
      <c r="AD26" s="1101">
        <f t="shared" si="23"/>
        <v>17944.000999950382</v>
      </c>
      <c r="AE26" s="1102">
        <f t="shared" si="24"/>
        <v>715.43001879258736</v>
      </c>
      <c r="AF26" s="1102">
        <f t="shared" si="25"/>
        <v>319.90690368827416</v>
      </c>
      <c r="AG26" s="1102">
        <f t="shared" si="26"/>
        <v>3579.7412011442502</v>
      </c>
      <c r="AH26" s="1142">
        <f t="shared" si="27"/>
        <v>22559.079123575495</v>
      </c>
      <c r="AI26" s="1422"/>
      <c r="AJ26" s="1101">
        <f t="shared" si="28"/>
        <v>17944.000999950382</v>
      </c>
      <c r="AK26" s="1102">
        <f t="shared" si="29"/>
        <v>715.43001879258736</v>
      </c>
      <c r="AL26" s="1102">
        <f t="shared" si="30"/>
        <v>319.90690368827416</v>
      </c>
      <c r="AM26" s="1102">
        <f t="shared" si="31"/>
        <v>3579.7412011442502</v>
      </c>
      <c r="AN26" s="1142">
        <f t="shared" si="32"/>
        <v>22559.079123575495</v>
      </c>
      <c r="AO26" s="1419"/>
      <c r="AP26" s="1101">
        <f t="shared" si="33"/>
        <v>17944.000999950382</v>
      </c>
      <c r="AQ26" s="1102">
        <f t="shared" si="34"/>
        <v>715.43001879258736</v>
      </c>
      <c r="AR26" s="1102">
        <f t="shared" si="35"/>
        <v>319.90690368827416</v>
      </c>
      <c r="AS26" s="1102">
        <f t="shared" si="36"/>
        <v>3579.7412011442502</v>
      </c>
      <c r="AT26" s="1142">
        <f t="shared" si="37"/>
        <v>22559.079123575495</v>
      </c>
      <c r="AU26" s="1415"/>
      <c r="AV26" s="1101">
        <f t="shared" si="38"/>
        <v>17944.000999950382</v>
      </c>
      <c r="AW26" s="1102">
        <f t="shared" si="39"/>
        <v>715.43001879258736</v>
      </c>
      <c r="AX26" s="1102">
        <f t="shared" si="40"/>
        <v>319.90690368827416</v>
      </c>
      <c r="AY26" s="1102">
        <f t="shared" si="41"/>
        <v>3579.7412011442502</v>
      </c>
      <c r="AZ26" s="1142">
        <f t="shared" si="42"/>
        <v>22559.079123575495</v>
      </c>
      <c r="BA26" s="1424"/>
      <c r="BB26" s="1101">
        <f t="shared" si="43"/>
        <v>17944.000999950382</v>
      </c>
      <c r="BC26" s="1102">
        <f t="shared" si="44"/>
        <v>715.43001879258736</v>
      </c>
      <c r="BD26" s="1102">
        <f t="shared" si="45"/>
        <v>319.90690368827416</v>
      </c>
      <c r="BE26" s="1102">
        <f t="shared" si="46"/>
        <v>3579.7412011442502</v>
      </c>
      <c r="BF26" s="1142">
        <f t="shared" si="47"/>
        <v>22559.079123575495</v>
      </c>
      <c r="BG26" s="1427"/>
      <c r="BH26" s="596">
        <f t="shared" si="48"/>
        <v>2016</v>
      </c>
      <c r="BI26" s="1102">
        <f>'Baseline data (from input)'!AZ72</f>
        <v>111.2009647431657</v>
      </c>
      <c r="BJ26" s="576">
        <f>'Baseline data (from input)'!BA72</f>
        <v>0.27897774744192294</v>
      </c>
      <c r="BK26" s="1103"/>
      <c r="BL26" s="1101">
        <f t="shared" si="49"/>
        <v>111.2009647431657</v>
      </c>
      <c r="BM26" s="576">
        <f t="shared" si="50"/>
        <v>0.27897774744192294</v>
      </c>
      <c r="BN26" s="1103"/>
      <c r="BO26" s="1102">
        <f t="shared" si="6"/>
        <v>111.2009647431657</v>
      </c>
      <c r="BP26" s="417">
        <f t="shared" si="6"/>
        <v>0.27897774744192294</v>
      </c>
      <c r="BQ26" s="1103"/>
      <c r="BR26" s="1101">
        <f>'Baseline data (from input)'!AZ73</f>
        <v>111.48215319455257</v>
      </c>
      <c r="BS26" s="417">
        <f>'Baseline data (from input)'!BA72</f>
        <v>0.27897774744192294</v>
      </c>
      <c r="BT26" s="1103"/>
      <c r="BU26" s="1102">
        <f t="shared" si="7"/>
        <v>111.2009647431657</v>
      </c>
      <c r="BV26" s="417">
        <f t="shared" si="7"/>
        <v>0.27897774744192294</v>
      </c>
      <c r="BW26" s="1103"/>
      <c r="BX26" s="1101">
        <f>BU26</f>
        <v>111.2009647431657</v>
      </c>
      <c r="BY26" s="417">
        <f>BV26</f>
        <v>0.27897774744192294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838.02636536804357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17598.553672728915</v>
      </c>
      <c r="M27" s="515">
        <f t="shared" si="53"/>
        <v>5.6614639220734917</v>
      </c>
      <c r="N27" s="471">
        <f t="shared" si="9"/>
        <v>745.73565301145118</v>
      </c>
      <c r="O27" s="514">
        <f t="shared" si="10"/>
        <v>321.35014174830235</v>
      </c>
      <c r="P27" s="471">
        <f t="shared" si="11"/>
        <v>3637.7950868788384</v>
      </c>
      <c r="Q27" s="471">
        <f t="shared" si="12"/>
        <v>17598.553672728915</v>
      </c>
      <c r="R27" s="517">
        <f t="shared" si="13"/>
        <v>751.39711693352467</v>
      </c>
      <c r="S27" s="514">
        <f t="shared" si="14"/>
        <v>321.35014174830235</v>
      </c>
      <c r="T27" s="471">
        <f t="shared" si="15"/>
        <v>3637.7950868788384</v>
      </c>
      <c r="U27" s="471">
        <f t="shared" si="16"/>
        <v>22309.09601828958</v>
      </c>
      <c r="V27" s="3"/>
      <c r="W27" s="596">
        <f t="shared" si="17"/>
        <v>2017</v>
      </c>
      <c r="X27" s="1101">
        <f t="shared" si="18"/>
        <v>17598.553672728915</v>
      </c>
      <c r="Y27" s="1102">
        <f t="shared" si="19"/>
        <v>751.39711693352467</v>
      </c>
      <c r="Z27" s="1102">
        <f t="shared" si="20"/>
        <v>321.35014174830235</v>
      </c>
      <c r="AA27" s="1102">
        <f t="shared" si="21"/>
        <v>3637.7950868788384</v>
      </c>
      <c r="AB27" s="1142">
        <f t="shared" si="22"/>
        <v>22309.09601828958</v>
      </c>
      <c r="AC27" s="1102"/>
      <c r="AD27" s="1101">
        <f>Q27</f>
        <v>17598.553672728915</v>
      </c>
      <c r="AE27" s="1102">
        <f t="shared" si="24"/>
        <v>751.39711693352467</v>
      </c>
      <c r="AF27" s="1102">
        <f t="shared" si="25"/>
        <v>321.35014174830235</v>
      </c>
      <c r="AG27" s="1102">
        <f t="shared" si="26"/>
        <v>3637.7950868788384</v>
      </c>
      <c r="AH27" s="1142">
        <f>SUM(AD27:AG27)</f>
        <v>22309.09601828958</v>
      </c>
      <c r="AI27" s="1422"/>
      <c r="AJ27" s="1101">
        <f t="shared" si="28"/>
        <v>17598.553672728915</v>
      </c>
      <c r="AK27" s="1102">
        <f t="shared" si="29"/>
        <v>751.39711693352467</v>
      </c>
      <c r="AL27" s="1102">
        <f t="shared" si="30"/>
        <v>321.35014174830235</v>
      </c>
      <c r="AM27" s="1102">
        <f t="shared" si="31"/>
        <v>3637.7950868788384</v>
      </c>
      <c r="AN27" s="1142">
        <f t="shared" si="32"/>
        <v>22309.09601828958</v>
      </c>
      <c r="AO27" s="1419"/>
      <c r="AP27" s="1101">
        <f t="shared" ref="AP27" si="54">Q27</f>
        <v>17598.553672728915</v>
      </c>
      <c r="AQ27" s="1102">
        <f t="shared" ref="AQ27" si="55">R27</f>
        <v>751.39711693352467</v>
      </c>
      <c r="AR27" s="1102">
        <f t="shared" ref="AR27" si="56">S27</f>
        <v>321.35014174830235</v>
      </c>
      <c r="AS27" s="1102">
        <f t="shared" ref="AS27" si="57">T27</f>
        <v>3637.7950868788384</v>
      </c>
      <c r="AT27" s="1142">
        <f t="shared" si="37"/>
        <v>22309.09601828958</v>
      </c>
      <c r="AU27" s="1415"/>
      <c r="AV27" s="1101">
        <f t="shared" si="38"/>
        <v>17598.553672728915</v>
      </c>
      <c r="AW27" s="1102">
        <f t="shared" si="39"/>
        <v>751.39711693352467</v>
      </c>
      <c r="AX27" s="1102">
        <f t="shared" si="40"/>
        <v>321.35014174830235</v>
      </c>
      <c r="AY27" s="1102">
        <f t="shared" si="41"/>
        <v>3637.7950868788384</v>
      </c>
      <c r="AZ27" s="1142">
        <f t="shared" si="42"/>
        <v>22309.09601828958</v>
      </c>
      <c r="BA27" s="1424"/>
      <c r="BB27" s="1101">
        <f t="shared" si="43"/>
        <v>17598.553672728915</v>
      </c>
      <c r="BC27" s="1102">
        <f t="shared" si="44"/>
        <v>751.39711693352467</v>
      </c>
      <c r="BD27" s="1102">
        <f t="shared" si="45"/>
        <v>321.35014174830235</v>
      </c>
      <c r="BE27" s="1102">
        <f t="shared" si="46"/>
        <v>3637.7950868788384</v>
      </c>
      <c r="BF27" s="1142">
        <f t="shared" si="47"/>
        <v>22309.09601828958</v>
      </c>
      <c r="BG27" s="1427"/>
      <c r="BH27" s="596">
        <f t="shared" si="48"/>
        <v>2017</v>
      </c>
      <c r="BI27" s="1102">
        <f>'Recycling - Case 1'!BV97</f>
        <v>111.48215319455257</v>
      </c>
      <c r="BJ27" s="417">
        <f>'Recycling - Case 1'!BW97</f>
        <v>0.28613022309776337</v>
      </c>
      <c r="BK27" s="1142">
        <f>'Recycling - Case 1'!BX97</f>
        <v>49.995050999999997</v>
      </c>
      <c r="BL27" s="1101">
        <f>'Recycling - Case 1'!BY97</f>
        <v>111.48215319455257</v>
      </c>
      <c r="BM27" s="576">
        <f>'Recycling - Case 1'!BZ97</f>
        <v>0.28613022309776337</v>
      </c>
      <c r="BN27" s="1142">
        <f>'Recycling - Case 1'!CA97</f>
        <v>49.995050999999997</v>
      </c>
      <c r="BO27" s="1102">
        <f>'Recycling - Case 2'!BV97</f>
        <v>111.48215319455257</v>
      </c>
      <c r="BP27" s="417">
        <f>'Recycling - Case 2'!BW97</f>
        <v>0.28613022309776337</v>
      </c>
      <c r="BQ27" s="1142">
        <f>'Recycling - Case 2'!BX97</f>
        <v>49.995050999999997</v>
      </c>
      <c r="BR27" s="1101">
        <f>'Recycling - Case 2'!BY97</f>
        <v>111.48215319455257</v>
      </c>
      <c r="BS27" s="417">
        <f>'Recycling - Case 2'!BZ97</f>
        <v>0.28613022309776337</v>
      </c>
      <c r="BT27" s="1142">
        <f>'Recycling - Case 2'!CA97</f>
        <v>49.995050999999997</v>
      </c>
      <c r="BU27" s="1102">
        <f>'Recycling - Case 3'!BV97</f>
        <v>111.48215319455257</v>
      </c>
      <c r="BV27" s="417">
        <f>'Recycling - Case 3'!BW97</f>
        <v>0.28613022309776337</v>
      </c>
      <c r="BW27" s="1142">
        <f>'Recycling - Case 3'!BX97</f>
        <v>49.995050999999997</v>
      </c>
      <c r="BX27" s="1101">
        <f>'Recycling - Case 3'!BY97</f>
        <v>111.48215319455257</v>
      </c>
      <c r="BY27" s="417">
        <f>'Recycling - Case 3'!BZ97</f>
        <v>0.28613022309776337</v>
      </c>
      <c r="BZ27" s="1142">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17230.856890422718</v>
      </c>
      <c r="Y28" s="1102">
        <f t="shared" ref="Y28:AA28" si="58">R29</f>
        <v>813.95770311191973</v>
      </c>
      <c r="Z28" s="1102">
        <f t="shared" si="58"/>
        <v>313.05069559326625</v>
      </c>
      <c r="AA28" s="1102">
        <f t="shared" si="58"/>
        <v>3728.7332486308678</v>
      </c>
      <c r="AB28" s="1142">
        <f t="shared" si="22"/>
        <v>22086.598537758771</v>
      </c>
      <c r="AC28" s="1423" t="str">
        <f>IF(OR('Recycling - Case 1'!AC98="No",'Recycling - Case 1'!T138="No"), "No", "Yes")</f>
        <v>Yes</v>
      </c>
      <c r="AD28" s="1101">
        <f>Q63</f>
        <v>17230.856890422718</v>
      </c>
      <c r="AE28" s="1102">
        <f t="shared" ref="AE28:AG28" si="59">R63</f>
        <v>813.95770311191973</v>
      </c>
      <c r="AF28" s="1102">
        <f t="shared" si="59"/>
        <v>313.05069559326625</v>
      </c>
      <c r="AG28" s="1102">
        <f t="shared" si="59"/>
        <v>3728.7332486308678</v>
      </c>
      <c r="AH28" s="1142">
        <f t="shared" ref="AH28:AH60" si="60">SUM(AD28:AG28)</f>
        <v>22086.598537758771</v>
      </c>
      <c r="AI28" s="1423" t="str">
        <f>IF(OR('Recycling - Case 1'!AC98="No",'Recycling - Case 1'!T178="No"), "No", "Yes")</f>
        <v>Yes</v>
      </c>
      <c r="AJ28" s="1101">
        <f>Q97</f>
        <v>17230.856890422718</v>
      </c>
      <c r="AK28" s="1102">
        <f t="shared" ref="AK28:AN28" si="61">R97</f>
        <v>813.95770311191973</v>
      </c>
      <c r="AL28" s="1102">
        <f t="shared" si="61"/>
        <v>313.30333811016675</v>
      </c>
      <c r="AM28" s="1102">
        <f t="shared" si="61"/>
        <v>3778.1317878798554</v>
      </c>
      <c r="AN28" s="1142">
        <f t="shared" si="61"/>
        <v>22136.249719524658</v>
      </c>
      <c r="AO28" s="1416" t="str">
        <f>IF(OR('Recycling - Case 2'!AC98="No",'Recycling - Case 2'!T138="No"), "No", "Yes")</f>
        <v>Yes</v>
      </c>
      <c r="AP28" s="1101">
        <f>Q131</f>
        <v>17230.856890422718</v>
      </c>
      <c r="AQ28" s="1102">
        <f t="shared" ref="AQ28:AS28" si="62">R131</f>
        <v>813.95770311191973</v>
      </c>
      <c r="AR28" s="1102">
        <f t="shared" si="62"/>
        <v>313.30333811016675</v>
      </c>
      <c r="AS28" s="1102">
        <f t="shared" si="62"/>
        <v>3778.1317878798554</v>
      </c>
      <c r="AT28" s="1142">
        <f t="shared" si="37"/>
        <v>22136.249719524658</v>
      </c>
      <c r="AU28" s="1423" t="str">
        <f>IF(OR('Recycling - Case 2'!AC98="No",'Recycling - Case 2'!T178="No"), "No", "Yes")</f>
        <v>Yes</v>
      </c>
      <c r="AV28" s="1101">
        <f t="shared" ref="AV28:AV60" si="63">Q165</f>
        <v>17230.856890422718</v>
      </c>
      <c r="AW28" s="1102">
        <f t="shared" ref="AW28:AW60" si="64">R165</f>
        <v>751.6821103048419</v>
      </c>
      <c r="AX28" s="1102">
        <f t="shared" ref="AX28:AX60" si="65">S165</f>
        <v>313.30333811016669</v>
      </c>
      <c r="AY28" s="1102">
        <f t="shared" ref="AY28:AY60" si="66">T165</f>
        <v>3778.1317878798554</v>
      </c>
      <c r="AZ28" s="1142">
        <f t="shared" ref="AZ28:AZ60" si="67">U165</f>
        <v>22073.974126717581</v>
      </c>
      <c r="BA28" s="1423" t="str">
        <f>IF(OR('Recycling - Case 3'!AC98="No",'Recycling - Case 3'!T138="No"), "No", "Yes")</f>
        <v>Yes</v>
      </c>
      <c r="BB28" s="1101">
        <f>Q199</f>
        <v>17230.856890422718</v>
      </c>
      <c r="BC28" s="1102">
        <f t="shared" ref="BC28:BE28" si="68">R199</f>
        <v>751.6821103048419</v>
      </c>
      <c r="BD28" s="1102">
        <f t="shared" si="68"/>
        <v>313.30333811016669</v>
      </c>
      <c r="BE28" s="1102">
        <f t="shared" si="68"/>
        <v>3778.1317878798554</v>
      </c>
      <c r="BF28" s="1142">
        <f t="shared" si="47"/>
        <v>22073.974126717581</v>
      </c>
      <c r="BG28" s="1423" t="str">
        <f>IF(OR('Recycling - Case 3'!AC98="No",'Recycling - Case 3'!T178="No"), "No", "Yes")</f>
        <v>Yes</v>
      </c>
      <c r="BH28" s="596">
        <f t="shared" si="48"/>
        <v>2018</v>
      </c>
      <c r="BI28" s="1102">
        <f>'Recycling - Case 1'!BV98</f>
        <v>108.3176056127139</v>
      </c>
      <c r="BJ28" s="417">
        <f>'Recycling - Case 1'!BW98</f>
        <v>0.30342298638676968</v>
      </c>
      <c r="BK28" s="1142">
        <f>'Recycling - Case 1'!BX98</f>
        <v>50.359792847133136</v>
      </c>
      <c r="BL28" s="1101">
        <f>'Recycling - Case 1'!BY98</f>
        <v>108.3176056127139</v>
      </c>
      <c r="BM28" s="576">
        <f>'Recycling - Case 1'!BZ98</f>
        <v>0.30342298638676968</v>
      </c>
      <c r="BN28" s="1142">
        <f>'Recycling - Case 1'!CA98</f>
        <v>50.359792847133136</v>
      </c>
      <c r="BO28" s="1102">
        <f>'Recycling - Case 2'!BV98</f>
        <v>108.79675618524169</v>
      </c>
      <c r="BP28" s="417">
        <f>'Recycling - Case 2'!BW98</f>
        <v>0.31239939440446801</v>
      </c>
      <c r="BQ28" s="1142">
        <f>'Recycling - Case 2'!BX98</f>
        <v>50.359792847133136</v>
      </c>
      <c r="BR28" s="1101">
        <f>'Recycling - Case 2'!BY98</f>
        <v>108.79675618524169</v>
      </c>
      <c r="BS28" s="417">
        <f>'Recycling - Case 2'!BZ98</f>
        <v>0.31239939440446801</v>
      </c>
      <c r="BT28" s="1142">
        <f>'Recycling - Case 2'!CA98</f>
        <v>50.359792847133136</v>
      </c>
      <c r="BU28" s="1102">
        <f>'Recycling - Case 3'!BV98</f>
        <v>108.79675618524169</v>
      </c>
      <c r="BV28" s="417">
        <f>'Recycling - Case 3'!BW98</f>
        <v>0.31239939440446801</v>
      </c>
      <c r="BW28" s="1142">
        <f>'Recycling - Case 3'!BX98</f>
        <v>50.359792847133136</v>
      </c>
      <c r="BX28" s="1101">
        <f>'Recycling - Case 3'!BY98</f>
        <v>108.79675618524169</v>
      </c>
      <c r="BY28" s="417">
        <f>'Recycling - Case 3'!BZ98</f>
        <v>0.31239939440446801</v>
      </c>
      <c r="BZ28" s="1142">
        <f>'Recycling - Case 3'!CA98</f>
        <v>50.359792847133136</v>
      </c>
      <c r="CA28" s="596">
        <v>2018</v>
      </c>
      <c r="CB28" s="649">
        <f>'Recycling - Case 1'!CB98</f>
        <v>2.3712632285903479E-2</v>
      </c>
      <c r="CC28" s="417">
        <f>'Recycling - Case 1'!CC98</f>
        <v>4.2790890844820795E-2</v>
      </c>
      <c r="CD28" s="417">
        <f>'Recycling - Case 1'!CD98</f>
        <v>2.3712632285903479E-2</v>
      </c>
      <c r="CE28" s="525">
        <f>'Recycling - Case 1'!CE98</f>
        <v>4.2790890844820795E-2</v>
      </c>
      <c r="CF28" s="649">
        <f>'Recycling - Case 2'!CB98</f>
        <v>2.3097802675159818E-2</v>
      </c>
      <c r="CG28" s="417">
        <f>'Recycling - Case 2'!CC98</f>
        <v>3.7534536819961217E-2</v>
      </c>
      <c r="CH28" s="417">
        <f>'Recycling - Case 2'!CD98</f>
        <v>2.3097802675159818E-2</v>
      </c>
      <c r="CI28" s="525">
        <f>'Recycling - Case 2'!CE98</f>
        <v>3.7534536819961217E-2</v>
      </c>
      <c r="CJ28" s="649">
        <f>'Recycling - Case 3'!CB98</f>
        <v>2.3097802675159818E-2</v>
      </c>
      <c r="CK28" s="417">
        <f>'Recycling - Case 3'!CC98</f>
        <v>3.7534536819961217E-2</v>
      </c>
      <c r="CL28" s="417">
        <f>'Recycling - Case 3'!CD98</f>
        <v>2.3097802675159818E-2</v>
      </c>
      <c r="CM28" s="525">
        <f>'Recycling - Case 3'!CE98</f>
        <v>3.7534536819961217E-2</v>
      </c>
    </row>
    <row r="29" spans="1:91">
      <c r="A29" s="1428">
        <f>'Input data'!A118</f>
        <v>2018</v>
      </c>
      <c r="B29" s="1428"/>
      <c r="C29" s="1429">
        <f>'4A SWD Case 1'!BG88</f>
        <v>820.5169947820342</v>
      </c>
      <c r="D29" s="515">
        <f>'4B Biological treatment '!T82</f>
        <v>0.32115863087580998</v>
      </c>
      <c r="E29" s="1430">
        <f>'4B Biological treatment '!U82</f>
        <v>20.384176057159792</v>
      </c>
      <c r="F29" s="1430">
        <f>'4B Biological treatment '!W82</f>
        <v>1.2230505634295874</v>
      </c>
      <c r="G29" s="515">
        <f>'4C2 Open-burning '!R89</f>
        <v>32.890504306921038</v>
      </c>
      <c r="H29" s="515">
        <f>'4C2 Open-burning '!Z89</f>
        <v>11.066647744235141</v>
      </c>
      <c r="I29" s="515">
        <f>'4C2 Open-burning '!AH89</f>
        <v>0.15406641502389429</v>
      </c>
      <c r="J29" s="1431">
        <f>'4D Wastewater treatment and dis'!AV126</f>
        <v>134.80821026422416</v>
      </c>
      <c r="K29" s="1432">
        <f>'4D Wastewater treatment and dis'!AW126</f>
        <v>2.8960026873618072</v>
      </c>
      <c r="L29" s="1433">
        <f t="shared" ref="L29:L61" si="69">C29*$B$3</f>
        <v>17230.856890422718</v>
      </c>
      <c r="M29" s="1432">
        <f t="shared" ref="M29:M61" si="70">D29*$B$3</f>
        <v>6.7443312483920099</v>
      </c>
      <c r="N29" s="1433">
        <f t="shared" ref="N29:N61" si="71">E29*$B$3+F29*$C$3</f>
        <v>807.21337186352775</v>
      </c>
      <c r="O29" s="1429">
        <f t="shared" ref="O29:O61" si="72">G29+H29*$B$3+I29*$C$3</f>
        <v>313.05069559326625</v>
      </c>
      <c r="P29" s="1433">
        <f t="shared" ref="P29:P61" si="73">J29*$B$3+K29*$C$3</f>
        <v>3728.7332486308678</v>
      </c>
      <c r="Q29" s="471">
        <f t="shared" ref="Q29:Q125" si="74">L29</f>
        <v>17230.856890422718</v>
      </c>
      <c r="R29" s="517">
        <f t="shared" ref="R29:R125" si="75">M29+N29</f>
        <v>813.95770311191973</v>
      </c>
      <c r="S29" s="514">
        <f t="shared" ref="S29:S125" si="76">O29</f>
        <v>313.05069559326625</v>
      </c>
      <c r="T29" s="471">
        <f t="shared" ref="T29:T125" si="77">P29</f>
        <v>3728.7332486308678</v>
      </c>
      <c r="U29" s="471">
        <f t="shared" ref="U29:U125" si="78">SUM(Q29:T29)</f>
        <v>22086.598537758771</v>
      </c>
      <c r="V29" s="3"/>
      <c r="W29" s="596">
        <f t="shared" ref="W29:W60" si="79">A30</f>
        <v>2019</v>
      </c>
      <c r="X29" s="1101">
        <f t="shared" ref="X29:X60" si="80">Q30</f>
        <v>16834.009318398883</v>
      </c>
      <c r="Y29" s="1102">
        <f t="shared" ref="Y29:Y60" si="81">R30</f>
        <v>966.59452967980178</v>
      </c>
      <c r="Z29" s="1102">
        <f t="shared" ref="Z29:Z60" si="82">S30</f>
        <v>304.9221239283998</v>
      </c>
      <c r="AA29" s="1102">
        <f t="shared" ref="AA29:AA60" si="83">T30</f>
        <v>3821.6612855587077</v>
      </c>
      <c r="AB29" s="1142">
        <f t="shared" si="22"/>
        <v>21927.187257565794</v>
      </c>
      <c r="AC29" s="1423" t="str">
        <f>IF(OR('Recycling - Case 1'!AC99="No",'Recycling - Case 1'!T139="No"), "No", "Yes")</f>
        <v>Yes</v>
      </c>
      <c r="AD29" s="1101">
        <f t="shared" ref="AD29:AD60" si="84">Q64</f>
        <v>16834.009318398883</v>
      </c>
      <c r="AE29" s="1102">
        <f t="shared" ref="AE29:AE60" si="85">R64</f>
        <v>966.59452967980178</v>
      </c>
      <c r="AF29" s="1102">
        <f t="shared" ref="AF29:AF60" si="86">S64</f>
        <v>304.9221239283998</v>
      </c>
      <c r="AG29" s="1102">
        <f t="shared" ref="AG29:AG60" si="87">T64</f>
        <v>3821.6612855587077</v>
      </c>
      <c r="AH29" s="1142">
        <f t="shared" si="60"/>
        <v>21927.187257565794</v>
      </c>
      <c r="AI29" s="1423" t="str">
        <f>IF(OR('Recycling - Case 1'!AI10="No",'Recycling - Case 1'!Z139="No"), "No", "Yes")</f>
        <v>Yes</v>
      </c>
      <c r="AJ29" s="1101">
        <f t="shared" ref="AJ29:AJ60" si="88">Q98</f>
        <v>16839.898969230198</v>
      </c>
      <c r="AK29" s="1102">
        <f t="shared" ref="AK29:AK60" si="89">R98</f>
        <v>966.59452967980178</v>
      </c>
      <c r="AL29" s="1102">
        <f t="shared" ref="AL29:AL60" si="90">S98</f>
        <v>307.81392004196488</v>
      </c>
      <c r="AM29" s="1102">
        <f t="shared" ref="AM29:AM60" si="91">T98</f>
        <v>3922.0560748079342</v>
      </c>
      <c r="AN29" s="1142">
        <f t="shared" ref="AN29:AN60" si="92">U98</f>
        <v>22036.363493759898</v>
      </c>
      <c r="AO29" s="1416" t="str">
        <f>IF(OR('Recycling - Case 2'!AC99="No",'Recycling - Case 2'!T139="No"), "No", "Yes")</f>
        <v>Yes</v>
      </c>
      <c r="AP29" s="1101">
        <f t="shared" ref="AP29:AP60" si="93">Q132</f>
        <v>16839.898969230198</v>
      </c>
      <c r="AQ29" s="1102">
        <f t="shared" ref="AQ29:AQ60" si="94">R132</f>
        <v>966.59452967980178</v>
      </c>
      <c r="AR29" s="1102">
        <f t="shared" ref="AR29:AR60" si="95">S132</f>
        <v>307.81392004196488</v>
      </c>
      <c r="AS29" s="1102">
        <f t="shared" ref="AS29:AS60" si="96">T132</f>
        <v>3922.0560748079342</v>
      </c>
      <c r="AT29" s="1142">
        <f t="shared" si="37"/>
        <v>22036.363493759898</v>
      </c>
      <c r="AU29" s="1423" t="str">
        <f>IF(OR('Recycling - Case 2'!AC99="No",'Recycling - Case 2'!T179="No"), "No", "Yes")</f>
        <v>Yes</v>
      </c>
      <c r="AV29" s="1101">
        <f t="shared" si="63"/>
        <v>16839.906548915631</v>
      </c>
      <c r="AW29" s="1102">
        <f t="shared" si="64"/>
        <v>817.44624520032187</v>
      </c>
      <c r="AX29" s="1102">
        <f t="shared" si="65"/>
        <v>307.81392004196488</v>
      </c>
      <c r="AY29" s="1102">
        <f t="shared" si="66"/>
        <v>3922.0560748079342</v>
      </c>
      <c r="AZ29" s="1142">
        <f t="shared" si="67"/>
        <v>21887.22278896585</v>
      </c>
      <c r="BA29" s="1423" t="str">
        <f>IF(OR('Recycling - Case 3'!AC99="No",'Recycling - Case 3'!T139="No"), "No", "Yes")</f>
        <v>Yes</v>
      </c>
      <c r="BB29" s="1101">
        <f t="shared" ref="BB29:BB60" si="97">Q200</f>
        <v>16839.906548915631</v>
      </c>
      <c r="BC29" s="1102">
        <f t="shared" ref="BC29:BC60" si="98">R200</f>
        <v>817.44624520032187</v>
      </c>
      <c r="BD29" s="1102">
        <f t="shared" ref="BD29:BD60" si="99">S200</f>
        <v>307.81392004196488</v>
      </c>
      <c r="BE29" s="1102">
        <f t="shared" ref="BE29:BE60" si="100">T200</f>
        <v>3922.0560748079342</v>
      </c>
      <c r="BF29" s="1142">
        <f t="shared" si="47"/>
        <v>21887.22278896585</v>
      </c>
      <c r="BG29" s="1423" t="str">
        <f>IF(OR('Recycling - Case 3'!AC99="No",'Recycling - Case 3'!T179="No"), "No", "Yes")</f>
        <v>Yes</v>
      </c>
      <c r="BH29" s="596">
        <f t="shared" si="48"/>
        <v>2019</v>
      </c>
      <c r="BI29" s="1102">
        <f>'Recycling - Case 1'!BV99</f>
        <v>112.05118639834505</v>
      </c>
      <c r="BJ29" s="417">
        <f>'Recycling - Case 1'!BW99</f>
        <v>0.36159603217363262</v>
      </c>
      <c r="BK29" s="1142">
        <f>'Recycling - Case 1'!BX99</f>
        <v>53.709279804327963</v>
      </c>
      <c r="BL29" s="1101">
        <f>'Recycling - Case 1'!BY99</f>
        <v>112.05118639834505</v>
      </c>
      <c r="BM29" s="576">
        <f>'Recycling - Case 1'!BZ99</f>
        <v>0.36159603217363262</v>
      </c>
      <c r="BN29" s="1142">
        <f>'Recycling - Case 1'!CA99</f>
        <v>53.709279804327963</v>
      </c>
      <c r="BO29" s="1102">
        <f>'Recycling - Case 2'!BV99</f>
        <v>113.72124321998997</v>
      </c>
      <c r="BP29" s="417">
        <f>'Recycling - Case 2'!BW99</f>
        <v>0.3771653699625368</v>
      </c>
      <c r="BQ29" s="1142">
        <f>'Recycling - Case 2'!BX99</f>
        <v>53.709279804327963</v>
      </c>
      <c r="BR29" s="1101">
        <f>'Recycling - Case 2'!BY99</f>
        <v>113.72124321998997</v>
      </c>
      <c r="BS29" s="417">
        <f>'Recycling - Case 2'!BZ99</f>
        <v>0.3771653699625368</v>
      </c>
      <c r="BT29" s="1142">
        <f>'Recycling - Case 2'!CA99</f>
        <v>53.709279804327963</v>
      </c>
      <c r="BU29" s="1102">
        <f>'Recycling - Case 3'!BV99</f>
        <v>113.72124321998997</v>
      </c>
      <c r="BV29" s="417">
        <f>'Recycling - Case 3'!BW99</f>
        <v>0.3771653699625368</v>
      </c>
      <c r="BW29" s="1142">
        <f>'Recycling - Case 3'!BX99</f>
        <v>53.709279804327963</v>
      </c>
      <c r="BX29" s="1101">
        <f>'Recycling - Case 3'!BY99</f>
        <v>113.72124321998997</v>
      </c>
      <c r="BY29" s="417">
        <f>'Recycling - Case 3'!BZ99</f>
        <v>0.3771653699625368</v>
      </c>
      <c r="BZ29" s="1142">
        <f>'Recycling - Case 3'!CA99</f>
        <v>53.709279804327963</v>
      </c>
      <c r="CA29" s="596">
        <v>2019</v>
      </c>
      <c r="CB29" s="649">
        <f>'Recycling - Case 1'!CB99</f>
        <v>4.7766344222348933E-2</v>
      </c>
      <c r="CC29" s="417">
        <f>'Recycling - Case 1'!CC99</f>
        <v>0.17550123929407857</v>
      </c>
      <c r="CD29" s="417">
        <f>'Recycling - Case 1'!CD99</f>
        <v>4.7766344222348933E-2</v>
      </c>
      <c r="CE29" s="525">
        <f>'Recycling - Case 1'!CE99</f>
        <v>0.17550123929407857</v>
      </c>
      <c r="CF29" s="649">
        <f>'Recycling - Case 2'!CB99</f>
        <v>4.2261345922522509E-2</v>
      </c>
      <c r="CG29" s="417">
        <f>'Recycling - Case 2'!CC99</f>
        <v>0.16120779967237486</v>
      </c>
      <c r="CH29" s="417">
        <f>'Recycling - Case 2'!CD99</f>
        <v>4.2261345922522509E-2</v>
      </c>
      <c r="CI29" s="525">
        <f>'Recycling - Case 2'!CE99</f>
        <v>0.16120779967237486</v>
      </c>
      <c r="CJ29" s="649">
        <f>'Recycling - Case 3'!CB99</f>
        <v>4.2261345922522509E-2</v>
      </c>
      <c r="CK29" s="417">
        <f>'Recycling - Case 3'!CC99</f>
        <v>0.16120779967237486</v>
      </c>
      <c r="CL29" s="417">
        <f>'Recycling - Case 3'!CD99</f>
        <v>4.2261345922522509E-2</v>
      </c>
      <c r="CM29" s="525">
        <f>'Recycling - Case 3'!CE99</f>
        <v>0.16120779967237486</v>
      </c>
    </row>
    <row r="30" spans="1:91">
      <c r="A30" s="4">
        <f>'Input data'!A119</f>
        <v>2019</v>
      </c>
      <c r="B30" s="4"/>
      <c r="C30" s="769">
        <f>'4A SWD Case 1'!BG89</f>
        <v>801.61949135232783</v>
      </c>
      <c r="D30" s="3">
        <f>'4B Biological treatment '!T83</f>
        <v>0.43039261674586826</v>
      </c>
      <c r="E30" s="1157">
        <f>'4B Biological treatment '!U83</f>
        <v>24.180714260811577</v>
      </c>
      <c r="F30" s="1157">
        <f>'4B Biological treatment '!W83</f>
        <v>1.4508428556486945</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16834.009318398883</v>
      </c>
      <c r="M30" s="772">
        <f t="shared" si="70"/>
        <v>9.0382449516632342</v>
      </c>
      <c r="N30" s="771">
        <f t="shared" si="71"/>
        <v>957.55628472813851</v>
      </c>
      <c r="O30" s="773">
        <f t="shared" si="72"/>
        <v>304.9221239283998</v>
      </c>
      <c r="P30" s="771">
        <f t="shared" si="73"/>
        <v>3821.6612855587077</v>
      </c>
      <c r="Q30" s="519">
        <f t="shared" si="74"/>
        <v>16834.009318398883</v>
      </c>
      <c r="R30" s="521">
        <f t="shared" si="75"/>
        <v>966.59452967980178</v>
      </c>
      <c r="S30" s="518">
        <f t="shared" si="76"/>
        <v>304.9221239283998</v>
      </c>
      <c r="T30" s="519">
        <f t="shared" si="77"/>
        <v>3821.6612855587077</v>
      </c>
      <c r="U30" s="519">
        <f t="shared" si="78"/>
        <v>21927.187257565794</v>
      </c>
      <c r="V30" s="3"/>
      <c r="W30" s="596">
        <f t="shared" si="79"/>
        <v>2020</v>
      </c>
      <c r="X30" s="1101">
        <f t="shared" si="80"/>
        <v>16398.75258472086</v>
      </c>
      <c r="Y30" s="1102">
        <f t="shared" si="81"/>
        <v>993.9369846547994</v>
      </c>
      <c r="Z30" s="1102">
        <f t="shared" si="82"/>
        <v>296.95916503445704</v>
      </c>
      <c r="AA30" s="1102">
        <f t="shared" si="83"/>
        <v>3916.619774427455</v>
      </c>
      <c r="AB30" s="1142">
        <f t="shared" si="22"/>
        <v>21606.268508837569</v>
      </c>
      <c r="AC30" s="1423" t="str">
        <f>IF(OR('Recycling - Case 1'!AC100="No",'Recycling - Case 1'!T140="No"), "No", "Yes")</f>
        <v>Yes</v>
      </c>
      <c r="AD30" s="1101">
        <f t="shared" si="84"/>
        <v>16398.75258472086</v>
      </c>
      <c r="AE30" s="1102">
        <f t="shared" si="85"/>
        <v>993.9369846547994</v>
      </c>
      <c r="AF30" s="1102">
        <f t="shared" si="86"/>
        <v>296.95916503445704</v>
      </c>
      <c r="AG30" s="1102">
        <f t="shared" si="87"/>
        <v>3916.619774427455</v>
      </c>
      <c r="AH30" s="1142">
        <f t="shared" si="60"/>
        <v>21606.268508837569</v>
      </c>
      <c r="AI30" s="1423" t="str">
        <f>IF(OR('Recycling - Case 1'!AI11="No",'Recycling - Case 1'!Z140="No"), "No", "Yes")</f>
        <v>Yes</v>
      </c>
      <c r="AJ30" s="1101">
        <f t="shared" si="88"/>
        <v>16421.674813818114</v>
      </c>
      <c r="AK30" s="1102">
        <f t="shared" si="89"/>
        <v>1049.3967129716259</v>
      </c>
      <c r="AL30" s="1102">
        <f t="shared" si="90"/>
        <v>299.52410113774715</v>
      </c>
      <c r="AM30" s="1102">
        <f t="shared" si="91"/>
        <v>4069.6472808319609</v>
      </c>
      <c r="AN30" s="1142">
        <f t="shared" si="92"/>
        <v>21840.242908759446</v>
      </c>
      <c r="AO30" s="1416" t="str">
        <f>IF(OR('Recycling - Case 2'!AC100="No",'Recycling - Case 2'!T140="No"), "No", "Yes")</f>
        <v>Yes</v>
      </c>
      <c r="AP30" s="1101">
        <f t="shared" si="93"/>
        <v>16421.674813818114</v>
      </c>
      <c r="AQ30" s="1102">
        <f t="shared" si="94"/>
        <v>1049.3967129716259</v>
      </c>
      <c r="AR30" s="1102">
        <f t="shared" si="95"/>
        <v>299.52410113774715</v>
      </c>
      <c r="AS30" s="1102">
        <f t="shared" si="96"/>
        <v>4069.6472808319609</v>
      </c>
      <c r="AT30" s="1142">
        <f t="shared" si="37"/>
        <v>21840.242908759446</v>
      </c>
      <c r="AU30" s="1423" t="str">
        <f>IF(OR('Recycling - Case 2'!AC100="No",'Recycling - Case 2'!T180="No"), "No", "Yes")</f>
        <v>Yes</v>
      </c>
      <c r="AV30" s="1101">
        <f t="shared" si="63"/>
        <v>16421.697356619788</v>
      </c>
      <c r="AW30" s="1102">
        <f t="shared" si="64"/>
        <v>805.23219117886299</v>
      </c>
      <c r="AX30" s="1102">
        <f t="shared" si="65"/>
        <v>299.52410113774715</v>
      </c>
      <c r="AY30" s="1102">
        <f t="shared" si="66"/>
        <v>4069.6472808319609</v>
      </c>
      <c r="AZ30" s="1142">
        <f t="shared" si="67"/>
        <v>21596.100929768359</v>
      </c>
      <c r="BA30" s="1423" t="str">
        <f>IF(OR('Recycling - Case 3'!AC100="No",'Recycling - Case 3'!T140="No"), "No", "Yes")</f>
        <v>Yes</v>
      </c>
      <c r="BB30" s="1101">
        <f t="shared" si="97"/>
        <v>16421.697356619788</v>
      </c>
      <c r="BC30" s="1102">
        <f t="shared" si="98"/>
        <v>805.23219117886276</v>
      </c>
      <c r="BD30" s="1102">
        <f t="shared" si="99"/>
        <v>299.52410113774715</v>
      </c>
      <c r="BE30" s="1102">
        <f t="shared" si="100"/>
        <v>4069.6472808319609</v>
      </c>
      <c r="BF30" s="1142">
        <f t="shared" si="47"/>
        <v>21596.100929768359</v>
      </c>
      <c r="BG30" s="1423" t="str">
        <f>IF(OR('Recycling - Case 3'!AC100="No",'Recycling - Case 3'!T180="No"), "No", "Yes")</f>
        <v>Yes</v>
      </c>
      <c r="BH30" s="596">
        <f t="shared" si="48"/>
        <v>2020</v>
      </c>
      <c r="BI30" s="1102">
        <f>'Recycling - Case 1'!BV100</f>
        <v>107.41773191637904</v>
      </c>
      <c r="BJ30" s="417">
        <f>'Recycling - Case 1'!BW100</f>
        <v>0.36863586907576812</v>
      </c>
      <c r="BK30" s="1142">
        <f>'Recycling - Case 1'!BX100</f>
        <v>50.685422165534831</v>
      </c>
      <c r="BL30" s="1101">
        <f>'Recycling - Case 1'!BY100</f>
        <v>107.41773191637904</v>
      </c>
      <c r="BM30" s="576">
        <f>'Recycling - Case 1'!BZ100</f>
        <v>0.36863586907576812</v>
      </c>
      <c r="BN30" s="1142">
        <f>'Recycling - Case 1'!CA100</f>
        <v>50.685422165534831</v>
      </c>
      <c r="BO30" s="1102">
        <f>'Recycling - Case 2'!BV100</f>
        <v>107.76458718195072</v>
      </c>
      <c r="BP30" s="417">
        <f>'Recycling - Case 2'!BW100</f>
        <v>0.4018180652136023</v>
      </c>
      <c r="BQ30" s="1142">
        <f>'Recycling - Case 2'!BX100</f>
        <v>50.685422165534831</v>
      </c>
      <c r="BR30" s="1101">
        <f>'Recycling - Case 2'!BY100</f>
        <v>107.76458718195072</v>
      </c>
      <c r="BS30" s="417">
        <f>'Recycling - Case 2'!BZ100</f>
        <v>0.4018180652136023</v>
      </c>
      <c r="BT30" s="1142">
        <f>'Recycling - Case 2'!CA100</f>
        <v>50.685422165534831</v>
      </c>
      <c r="BU30" s="1102">
        <f>'Recycling - Case 3'!BV100</f>
        <v>107.76458718195072</v>
      </c>
      <c r="BV30" s="417">
        <f>'Recycling - Case 3'!BW100</f>
        <v>0.4018180652136023</v>
      </c>
      <c r="BW30" s="1142">
        <f>'Recycling - Case 3'!BX100</f>
        <v>50.685422165534831</v>
      </c>
      <c r="BX30" s="1101">
        <f>'Recycling - Case 3'!BY100</f>
        <v>107.76458718195072</v>
      </c>
      <c r="BY30" s="417">
        <f>'Recycling - Case 3'!BZ100</f>
        <v>0.4018180652136023</v>
      </c>
      <c r="BZ30" s="1142">
        <f>'Recycling - Case 3'!CA100</f>
        <v>50.685422165534831</v>
      </c>
      <c r="CA30" s="596">
        <v>2020</v>
      </c>
      <c r="CB30" s="649">
        <f>'Recycling - Case 1'!CB100</f>
        <v>7.0040644951311681E-2</v>
      </c>
      <c r="CC30" s="417">
        <f>'Recycling - Case 1'!CC100</f>
        <v>0.16680299581403968</v>
      </c>
      <c r="CD30" s="417">
        <f>'Recycling - Case 1'!CD100</f>
        <v>7.0040644951311681E-2</v>
      </c>
      <c r="CE30" s="525">
        <f>'Recycling - Case 1'!CE100</f>
        <v>0.16680299581403968</v>
      </c>
      <c r="CF30" s="649">
        <f>'Recycling - Case 2'!CB100</f>
        <v>6.3097402659273327E-2</v>
      </c>
      <c r="CG30" s="417">
        <f>'Recycling - Case 2'!CC100</f>
        <v>0.1650958360902629</v>
      </c>
      <c r="CH30" s="417">
        <f>'Recycling - Case 2'!CD100</f>
        <v>6.3097402659273327E-2</v>
      </c>
      <c r="CI30" s="525">
        <f>'Recycling - Case 2'!CE100</f>
        <v>0.1650958360902629</v>
      </c>
      <c r="CJ30" s="649">
        <f>'Recycling - Case 3'!CB100</f>
        <v>6.3097402659273327E-2</v>
      </c>
      <c r="CK30" s="417">
        <f>'Recycling - Case 3'!CC100</f>
        <v>0.1650958360902629</v>
      </c>
      <c r="CL30" s="417">
        <f>'Recycling - Case 3'!CD100</f>
        <v>6.3097402659273327E-2</v>
      </c>
      <c r="CM30" s="525">
        <f>'Recycling - Case 3'!CE100</f>
        <v>0.1650958360902629</v>
      </c>
    </row>
    <row r="31" spans="1:91">
      <c r="A31" s="4">
        <f>'Input data'!A120</f>
        <v>2020</v>
      </c>
      <c r="B31" s="4"/>
      <c r="C31" s="769">
        <f>'4A SWD Case 1'!BG90</f>
        <v>780.89298022480284</v>
      </c>
      <c r="D31" s="3">
        <f>'4B Biological treatment '!T84</f>
        <v>0.47546448968028188</v>
      </c>
      <c r="E31" s="1157">
        <f>'4B Biological treatment '!U84</f>
        <v>24.84727854473519</v>
      </c>
      <c r="F31" s="1157">
        <f>'4B Biological treatment '!W84</f>
        <v>1.4908367126841111</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16398.75258472086</v>
      </c>
      <c r="M31" s="772">
        <f t="shared" si="70"/>
        <v>9.9847542832859197</v>
      </c>
      <c r="N31" s="771">
        <f t="shared" si="71"/>
        <v>983.95223037151345</v>
      </c>
      <c r="O31" s="773">
        <f t="shared" si="72"/>
        <v>296.95916503445704</v>
      </c>
      <c r="P31" s="771">
        <f t="shared" si="73"/>
        <v>3916.619774427455</v>
      </c>
      <c r="Q31" s="519">
        <f t="shared" si="74"/>
        <v>16398.75258472086</v>
      </c>
      <c r="R31" s="521">
        <f t="shared" si="75"/>
        <v>993.9369846547994</v>
      </c>
      <c r="S31" s="518">
        <f t="shared" si="76"/>
        <v>296.95916503445704</v>
      </c>
      <c r="T31" s="519">
        <f t="shared" si="77"/>
        <v>3916.619774427455</v>
      </c>
      <c r="U31" s="519">
        <f t="shared" si="78"/>
        <v>21606.268508837569</v>
      </c>
      <c r="V31" s="3"/>
      <c r="W31" s="596">
        <f t="shared" si="79"/>
        <v>2021</v>
      </c>
      <c r="X31" s="1101">
        <f t="shared" si="80"/>
        <v>15965.759427936568</v>
      </c>
      <c r="Y31" s="1102">
        <f t="shared" si="81"/>
        <v>1052.9373589153797</v>
      </c>
      <c r="Z31" s="1102">
        <f t="shared" si="82"/>
        <v>289.30826928918913</v>
      </c>
      <c r="AA31" s="1102">
        <f t="shared" si="83"/>
        <v>3995.2541307434112</v>
      </c>
      <c r="AB31" s="1142">
        <f t="shared" si="22"/>
        <v>21303.259186884545</v>
      </c>
      <c r="AC31" s="1423" t="str">
        <f>IF(OR('Recycling - Case 1'!AC101="No",'Recycling - Case 1'!T141="No"), "No", "Yes")</f>
        <v>Yes</v>
      </c>
      <c r="AD31" s="1101">
        <f t="shared" si="84"/>
        <v>15965.759427936568</v>
      </c>
      <c r="AE31" s="1102">
        <f t="shared" si="85"/>
        <v>1052.9373589153797</v>
      </c>
      <c r="AF31" s="1102">
        <f t="shared" si="86"/>
        <v>289.30826928918913</v>
      </c>
      <c r="AG31" s="1102">
        <f t="shared" si="87"/>
        <v>3995.2541307434112</v>
      </c>
      <c r="AH31" s="1142">
        <f t="shared" si="60"/>
        <v>21303.259186884545</v>
      </c>
      <c r="AI31" s="1423" t="str">
        <f>IF(OR('Recycling - Case 1'!AI12="No",'Recycling - Case 1'!Z141="No"), "No", "Yes")</f>
        <v>Yes</v>
      </c>
      <c r="AJ31" s="1101">
        <f t="shared" si="88"/>
        <v>15980.993576150302</v>
      </c>
      <c r="AK31" s="1102">
        <f t="shared" si="89"/>
        <v>1273.0581060123072</v>
      </c>
      <c r="AL31" s="1102">
        <f t="shared" si="90"/>
        <v>275.36438549102087</v>
      </c>
      <c r="AM31" s="1102">
        <f t="shared" si="91"/>
        <v>4201.6401192926323</v>
      </c>
      <c r="AN31" s="1142">
        <f t="shared" si="92"/>
        <v>21731.056186946262</v>
      </c>
      <c r="AO31" s="1416" t="str">
        <f>IF(OR('Recycling - Case 2'!AC101="No",'Recycling - Case 2'!T141="No"), "No", "Yes")</f>
        <v>Yes</v>
      </c>
      <c r="AP31" s="1101">
        <f t="shared" si="93"/>
        <v>15980.993576150302</v>
      </c>
      <c r="AQ31" s="1102">
        <f t="shared" si="94"/>
        <v>1273.0581060123072</v>
      </c>
      <c r="AR31" s="1102">
        <f t="shared" si="95"/>
        <v>275.36438549102087</v>
      </c>
      <c r="AS31" s="1102">
        <f t="shared" si="96"/>
        <v>4201.6401192926323</v>
      </c>
      <c r="AT31" s="1142">
        <f t="shared" si="37"/>
        <v>21731.056186946262</v>
      </c>
      <c r="AU31" s="1423" t="str">
        <f>IF(OR('Recycling - Case 2'!AC101="No",'Recycling - Case 2'!T181="No"), "No", "Yes")</f>
        <v>Yes</v>
      </c>
      <c r="AV31" s="1101">
        <f t="shared" si="63"/>
        <v>15981.038286620123</v>
      </c>
      <c r="AW31" s="1102">
        <f t="shared" si="64"/>
        <v>875.72946041729608</v>
      </c>
      <c r="AX31" s="1102">
        <f t="shared" si="65"/>
        <v>275.36438549102087</v>
      </c>
      <c r="AY31" s="1102">
        <f t="shared" si="66"/>
        <v>4201.6401192926323</v>
      </c>
      <c r="AZ31" s="1142">
        <f t="shared" si="67"/>
        <v>21333.772251821072</v>
      </c>
      <c r="BA31" s="1423" t="str">
        <f>IF(OR('Recycling - Case 3'!AC101="No",'Recycling - Case 3'!T141="No"), "No", "Yes")</f>
        <v>Yes</v>
      </c>
      <c r="BB31" s="1101">
        <f t="shared" si="97"/>
        <v>15981.038286620123</v>
      </c>
      <c r="BC31" s="1102">
        <f t="shared" si="98"/>
        <v>875.72946041729608</v>
      </c>
      <c r="BD31" s="1102">
        <f t="shared" si="99"/>
        <v>275.36438549102087</v>
      </c>
      <c r="BE31" s="1102">
        <f t="shared" si="100"/>
        <v>4201.6401192926323</v>
      </c>
      <c r="BF31" s="1142">
        <f t="shared" si="47"/>
        <v>21333.772251821072</v>
      </c>
      <c r="BG31" s="1423" t="str">
        <f>IF(OR('Recycling - Case 3'!AC101="No",'Recycling - Case 3'!T181="No"), "No", "Yes")</f>
        <v>Yes</v>
      </c>
      <c r="BH31" s="596">
        <f t="shared" si="48"/>
        <v>2021</v>
      </c>
      <c r="BI31" s="1102">
        <f>'Recycling - Case 1'!BV101</f>
        <v>105.32657968058341</v>
      </c>
      <c r="BJ31" s="417">
        <f>'Recycling - Case 1'!BW101</f>
        <v>0.38953362391609891</v>
      </c>
      <c r="BK31" s="1142">
        <f>'Recycling - Case 1'!BX101</f>
        <v>50.618072007837</v>
      </c>
      <c r="BL31" s="1101">
        <f>'Recycling - Case 1'!BY101</f>
        <v>105.32657968058341</v>
      </c>
      <c r="BM31" s="576">
        <f>'Recycling - Case 1'!BZ101</f>
        <v>0.38953362391609891</v>
      </c>
      <c r="BN31" s="1142">
        <f>'Recycling - Case 1'!CA101</f>
        <v>50.618072007837</v>
      </c>
      <c r="BO31" s="1102">
        <f>'Recycling - Case 2'!BV101</f>
        <v>98.4841732303519</v>
      </c>
      <c r="BP31" s="417">
        <f>'Recycling - Case 2'!BW101</f>
        <v>0.47474371574170848</v>
      </c>
      <c r="BQ31" s="1142">
        <f>'Recycling - Case 2'!BX101</f>
        <v>50.618072007837</v>
      </c>
      <c r="BR31" s="1101">
        <f>'Recycling - Case 2'!BY101</f>
        <v>98.4841732303519</v>
      </c>
      <c r="BS31" s="417">
        <f>'Recycling - Case 2'!BZ101</f>
        <v>0.47474371574170848</v>
      </c>
      <c r="BT31" s="1142">
        <f>'Recycling - Case 2'!CA101</f>
        <v>50.618072007837</v>
      </c>
      <c r="BU31" s="1102">
        <f>'Recycling - Case 3'!BV101</f>
        <v>98.4841732303519</v>
      </c>
      <c r="BV31" s="417">
        <f>'Recycling - Case 3'!BW101</f>
        <v>0.47474371574170848</v>
      </c>
      <c r="BW31" s="1142">
        <f>'Recycling - Case 3'!BX101</f>
        <v>50.618072007837</v>
      </c>
      <c r="BX31" s="1101">
        <f>'Recycling - Case 3'!BY101</f>
        <v>98.4841732303519</v>
      </c>
      <c r="BY31" s="417">
        <f>'Recycling - Case 3'!BZ101</f>
        <v>0.47474371574170848</v>
      </c>
      <c r="BZ31" s="1142">
        <f>'Recycling - Case 3'!CA101</f>
        <v>50.618072007837</v>
      </c>
      <c r="CA31" s="596">
        <v>2021</v>
      </c>
      <c r="CB31" s="649">
        <f>'Recycling - Case 1'!CB101</f>
        <v>8.7685876347071812E-2</v>
      </c>
      <c r="CC31" s="417">
        <f>'Recycling - Case 1'!CC101</f>
        <v>0.19752867950801611</v>
      </c>
      <c r="CD31" s="417">
        <f>'Recycling - Case 1'!CD101</f>
        <v>8.7685876347071812E-2</v>
      </c>
      <c r="CE31" s="525">
        <f>'Recycling - Case 1'!CE101</f>
        <v>0.19752867950801611</v>
      </c>
      <c r="CF31" s="649">
        <f>'Recycling - Case 2'!CB101</f>
        <v>9.726841017376453E-2</v>
      </c>
      <c r="CG31" s="417">
        <f>'Recycling - Case 2'!CC101</f>
        <v>0.26201975525146737</v>
      </c>
      <c r="CH31" s="417">
        <f>'Recycling - Case 2'!CD101</f>
        <v>9.726841017376453E-2</v>
      </c>
      <c r="CI31" s="525">
        <f>'Recycling - Case 2'!CE101</f>
        <v>0.26201975525146737</v>
      </c>
      <c r="CJ31" s="649">
        <f>'Recycling - Case 3'!CB101</f>
        <v>9.726841017376453E-2</v>
      </c>
      <c r="CK31" s="417">
        <f>'Recycling - Case 3'!CC101</f>
        <v>0.26201975525146737</v>
      </c>
      <c r="CL31" s="417">
        <f>'Recycling - Case 3'!CD101</f>
        <v>9.726841017376453E-2</v>
      </c>
      <c r="CM31" s="525">
        <f>'Recycling - Case 3'!CE101</f>
        <v>0.26201975525146737</v>
      </c>
    </row>
    <row r="32" spans="1:91">
      <c r="A32" s="4">
        <f>'Input data'!A121</f>
        <v>2021</v>
      </c>
      <c r="B32" s="4"/>
      <c r="C32" s="769">
        <f>'4A SWD Case 1'!BG91</f>
        <v>760.27425847316988</v>
      </c>
      <c r="D32" s="3">
        <f>'4B Biological treatment '!T85</f>
        <v>0.54342488244581011</v>
      </c>
      <c r="E32" s="1157">
        <f>'4B Biological treatment '!U85</f>
        <v>26.301147383434795</v>
      </c>
      <c r="F32" s="1157">
        <f>'4B Biological treatment '!W85</f>
        <v>1.5780688430060874</v>
      </c>
      <c r="G32" s="952">
        <f>'4C2 Open-burning '!R92</f>
        <v>30.396018954856537</v>
      </c>
      <c r="H32" s="952">
        <f>'4C2 Open-burning '!Z92</f>
        <v>10.227329792863893</v>
      </c>
      <c r="I32" s="952">
        <f>'4C2 Open-burning '!AH92</f>
        <v>0.14238169252964775</v>
      </c>
      <c r="J32" s="987">
        <f>'4D Wastewater treatment and dis'!AV129</f>
        <v>145.59752270040624</v>
      </c>
      <c r="K32" s="770">
        <f>'4D Wastewater treatment and dis'!AW129</f>
        <v>3.0248585614028385</v>
      </c>
      <c r="L32" s="771">
        <f t="shared" si="69"/>
        <v>15965.759427936568</v>
      </c>
      <c r="M32" s="772">
        <f t="shared" si="70"/>
        <v>11.411922531362013</v>
      </c>
      <c r="N32" s="771">
        <f t="shared" si="71"/>
        <v>1041.5254363840177</v>
      </c>
      <c r="O32" s="773">
        <f t="shared" si="72"/>
        <v>289.30826928918913</v>
      </c>
      <c r="P32" s="771">
        <f t="shared" si="73"/>
        <v>3995.2541307434112</v>
      </c>
      <c r="Q32" s="519">
        <f t="shared" si="74"/>
        <v>15965.759427936568</v>
      </c>
      <c r="R32" s="521">
        <f t="shared" si="75"/>
        <v>1052.9373589153797</v>
      </c>
      <c r="S32" s="518">
        <f t="shared" si="76"/>
        <v>289.30826928918913</v>
      </c>
      <c r="T32" s="519">
        <f t="shared" si="77"/>
        <v>3995.2541307434112</v>
      </c>
      <c r="U32" s="519">
        <f t="shared" si="78"/>
        <v>21303.259186884545</v>
      </c>
      <c r="V32" s="3"/>
      <c r="W32" s="596">
        <f t="shared" si="79"/>
        <v>2022</v>
      </c>
      <c r="X32" s="1101">
        <f t="shared" si="80"/>
        <v>15521.170912111349</v>
      </c>
      <c r="Y32" s="1102">
        <f t="shared" si="81"/>
        <v>1108.9601998862627</v>
      </c>
      <c r="Z32" s="1102">
        <f t="shared" si="82"/>
        <v>281.88387608267908</v>
      </c>
      <c r="AA32" s="1102">
        <f t="shared" si="83"/>
        <v>4075.1800556596418</v>
      </c>
      <c r="AB32" s="1142">
        <f t="shared" si="22"/>
        <v>20987.195043739935</v>
      </c>
      <c r="AC32" s="1423" t="str">
        <f>IF(OR('Recycling - Case 1'!AC102="No",'Recycling - Case 1'!T142="No"), "No", "Yes")</f>
        <v>Yes</v>
      </c>
      <c r="AD32" s="1101">
        <f t="shared" si="84"/>
        <v>15521.170912111349</v>
      </c>
      <c r="AE32" s="1102">
        <f t="shared" si="85"/>
        <v>1108.9601998862627</v>
      </c>
      <c r="AF32" s="1102">
        <f t="shared" si="86"/>
        <v>281.88387608267908</v>
      </c>
      <c r="AG32" s="1102">
        <f t="shared" si="87"/>
        <v>4075.1800556596418</v>
      </c>
      <c r="AH32" s="1142">
        <f t="shared" si="60"/>
        <v>20987.195043739935</v>
      </c>
      <c r="AI32" s="1423" t="str">
        <f>IF(OR('Recycling - Case 1'!AI13="No",'Recycling - Case 1'!Z142="No"), "No", "Yes")</f>
        <v>Yes</v>
      </c>
      <c r="AJ32" s="1101">
        <f t="shared" si="88"/>
        <v>15438.319229303508</v>
      </c>
      <c r="AK32" s="1102">
        <f t="shared" si="89"/>
        <v>1381.9634260444479</v>
      </c>
      <c r="AL32" s="1102">
        <f t="shared" si="90"/>
        <v>229.17353377197622</v>
      </c>
      <c r="AM32" s="1102">
        <f t="shared" si="91"/>
        <v>4336.1329960221574</v>
      </c>
      <c r="AN32" s="1142">
        <f t="shared" si="92"/>
        <v>21385.589185142089</v>
      </c>
      <c r="AO32" s="1416" t="str">
        <f>IF(OR('Recycling - Case 2'!AC102="No",'Recycling - Case 2'!T142="No"), "No", "Yes")</f>
        <v>No</v>
      </c>
      <c r="AP32" s="1101">
        <f t="shared" si="93"/>
        <v>15438.319229303508</v>
      </c>
      <c r="AQ32" s="1102">
        <f t="shared" si="94"/>
        <v>1381.9634260444479</v>
      </c>
      <c r="AR32" s="1102">
        <f t="shared" si="95"/>
        <v>229.17353377197622</v>
      </c>
      <c r="AS32" s="1102">
        <f t="shared" si="96"/>
        <v>4336.1329960221574</v>
      </c>
      <c r="AT32" s="1142">
        <f t="shared" si="37"/>
        <v>21385.589185142089</v>
      </c>
      <c r="AU32" s="1423" t="str">
        <f>IF(OR('Recycling - Case 2'!AC102="No",'Recycling - Case 2'!T182="No"), "No", "Yes")</f>
        <v>No</v>
      </c>
      <c r="AV32" s="1101">
        <f t="shared" si="63"/>
        <v>15438.393003793937</v>
      </c>
      <c r="AW32" s="1102">
        <f t="shared" si="64"/>
        <v>839.29559152449838</v>
      </c>
      <c r="AX32" s="1102">
        <f t="shared" si="65"/>
        <v>229.17353377197622</v>
      </c>
      <c r="AY32" s="1102">
        <f t="shared" si="66"/>
        <v>4336.1329960221574</v>
      </c>
      <c r="AZ32" s="1142">
        <f t="shared" si="67"/>
        <v>20842.995125112568</v>
      </c>
      <c r="BA32" s="1423" t="str">
        <f>IF(OR('Recycling - Case 3'!AC102="No",'Recycling - Case 3'!T142="No"), "No", "Yes")</f>
        <v>No</v>
      </c>
      <c r="BB32" s="1101">
        <f t="shared" si="97"/>
        <v>15438.393003793937</v>
      </c>
      <c r="BC32" s="1102">
        <f t="shared" si="98"/>
        <v>839.29559152449838</v>
      </c>
      <c r="BD32" s="1102">
        <f t="shared" si="99"/>
        <v>229.17353377197622</v>
      </c>
      <c r="BE32" s="1102">
        <f t="shared" si="100"/>
        <v>4336.1329960221574</v>
      </c>
      <c r="BF32" s="1142">
        <f t="shared" si="47"/>
        <v>20842.995125112568</v>
      </c>
      <c r="BG32" s="1423" t="str">
        <f>IF(OR('Recycling - Case 3'!AC102="No",'Recycling - Case 3'!T182="No"), "No", "Yes")</f>
        <v>No</v>
      </c>
      <c r="BH32" s="596">
        <f t="shared" si="48"/>
        <v>2022</v>
      </c>
      <c r="BI32" s="1102">
        <f>'Recycling - Case 1'!BV102</f>
        <v>103.29996426509275</v>
      </c>
      <c r="BJ32" s="417">
        <f>'Recycling - Case 1'!BW102</f>
        <v>0.40987582678627849</v>
      </c>
      <c r="BK32" s="1142">
        <f>'Recycling - Case 1'!BX102</f>
        <v>50.359792847133136</v>
      </c>
      <c r="BL32" s="1101">
        <f>'Recycling - Case 1'!BY102</f>
        <v>103.29996426509275</v>
      </c>
      <c r="BM32" s="417">
        <f>'Recycling - Case 1'!BZ102</f>
        <v>0.40987582678627849</v>
      </c>
      <c r="BN32" s="1142">
        <f>'Recycling - Case 1'!CA102</f>
        <v>50.359792847133136</v>
      </c>
      <c r="BO32" s="1102">
        <f>'Recycling - Case 2'!BV102</f>
        <v>95.352491023753245</v>
      </c>
      <c r="BP32" s="417">
        <f>'Recycling - Case 2'!BW102</f>
        <v>0.51467713390821135</v>
      </c>
      <c r="BQ32" s="1142">
        <f>'Recycling - Case 2'!BX102</f>
        <v>50.359792847133136</v>
      </c>
      <c r="BR32" s="1101">
        <f>'Recycling - Case 2'!BY102</f>
        <v>95.352491023753245</v>
      </c>
      <c r="BS32" s="417">
        <f>'Recycling - Case 2'!BZ102</f>
        <v>0.51467713390821135</v>
      </c>
      <c r="BT32" s="1142">
        <f>'Recycling - Case 2'!CA102</f>
        <v>50.359792847133136</v>
      </c>
      <c r="BU32" s="1102">
        <f>'Recycling - Case 3'!BV102</f>
        <v>95.352491023753245</v>
      </c>
      <c r="BV32" s="417">
        <f>'Recycling - Case 3'!BW102</f>
        <v>0.51467713390821135</v>
      </c>
      <c r="BW32" s="1142">
        <f>'Recycling - Case 3'!BX102</f>
        <v>50.359792847133136</v>
      </c>
      <c r="BX32" s="1101">
        <f>'Recycling - Case 3'!BY102</f>
        <v>95.352491023753245</v>
      </c>
      <c r="BY32" s="417">
        <f>'Recycling - Case 3'!BZ102</f>
        <v>0.51467713390821135</v>
      </c>
      <c r="BZ32" s="1142">
        <f>'Recycling - Case 3'!CA102</f>
        <v>50.359792847133136</v>
      </c>
      <c r="CA32" s="596">
        <v>2022</v>
      </c>
      <c r="CB32" s="649">
        <f>'Recycling - Case 1'!CB102</f>
        <v>0.10394016738010314</v>
      </c>
      <c r="CC32" s="417">
        <f>'Recycling - Case 1'!CC102</f>
        <v>0.22317084454113534</v>
      </c>
      <c r="CD32" s="417">
        <f>'Recycling - Case 1'!CD102</f>
        <v>0.10394016738010314</v>
      </c>
      <c r="CE32" s="525">
        <f>'Recycling - Case 1'!CE102</f>
        <v>0.22317084454113534</v>
      </c>
      <c r="CF32" s="649">
        <f>'Recycling - Case 2'!CB102</f>
        <v>0.15764324460297707</v>
      </c>
      <c r="CG32" s="417">
        <f>'Recycling - Case 2'!CC102</f>
        <v>0.28673488287563798</v>
      </c>
      <c r="CH32" s="417">
        <f>'Recycling - Case 2'!CD102</f>
        <v>0.15764324460297707</v>
      </c>
      <c r="CI32" s="525">
        <f>'Recycling - Case 2'!CE102</f>
        <v>0.28673488287563798</v>
      </c>
      <c r="CJ32" s="649">
        <f>'Recycling - Case 3'!CB102</f>
        <v>0.15764324460297707</v>
      </c>
      <c r="CK32" s="417">
        <f>'Recycling - Case 3'!CC102</f>
        <v>0.28673488287563798</v>
      </c>
      <c r="CL32" s="417">
        <f>'Recycling - Case 3'!CD102</f>
        <v>0.15764324460297707</v>
      </c>
      <c r="CM32" s="525">
        <f>'Recycling - Case 3'!CE102</f>
        <v>0.28673488287563798</v>
      </c>
    </row>
    <row r="33" spans="1:91">
      <c r="A33" s="4">
        <f>'Input data'!A122</f>
        <v>2022</v>
      </c>
      <c r="B33" s="4"/>
      <c r="C33" s="769">
        <f>'4A SWD Case 1'!BG92</f>
        <v>739.10337676720712</v>
      </c>
      <c r="D33" s="3">
        <f>'4B Biological treatment '!T86</f>
        <v>0.61506389344773316</v>
      </c>
      <c r="E33" s="1157">
        <f>'4B Biological treatment '!U86</f>
        <v>27.677875205147984</v>
      </c>
      <c r="F33" s="1157">
        <f>'4B Biological treatment '!W86</f>
        <v>1.6606725123088792</v>
      </c>
      <c r="G33" s="952">
        <f>'4C2 Open-burning '!R93</f>
        <v>29.615979043837584</v>
      </c>
      <c r="H33" s="952">
        <f>'4C2 Open-burning '!Z93</f>
        <v>9.9648702440185204</v>
      </c>
      <c r="I33" s="952">
        <f>'4C2 Open-burning '!AH93</f>
        <v>0.13872781262726636</v>
      </c>
      <c r="J33" s="987">
        <f>'4D Wastewater treatment and dis'!AV130</f>
        <v>148.88938056271107</v>
      </c>
      <c r="K33" s="770">
        <f>'4D Wastewater treatment and dis'!AW130</f>
        <v>3.0596873027184164</v>
      </c>
      <c r="L33" s="771">
        <f t="shared" si="69"/>
        <v>15521.170912111349</v>
      </c>
      <c r="M33" s="772">
        <f t="shared" si="70"/>
        <v>12.916341762402396</v>
      </c>
      <c r="N33" s="771">
        <f t="shared" si="71"/>
        <v>1096.0438581238602</v>
      </c>
      <c r="O33" s="773">
        <f t="shared" si="72"/>
        <v>281.88387608267908</v>
      </c>
      <c r="P33" s="771">
        <f t="shared" si="73"/>
        <v>4075.1800556596418</v>
      </c>
      <c r="Q33" s="519">
        <f t="shared" si="74"/>
        <v>15521.170912111349</v>
      </c>
      <c r="R33" s="521">
        <f t="shared" si="75"/>
        <v>1108.9601998862627</v>
      </c>
      <c r="S33" s="518">
        <f t="shared" si="76"/>
        <v>281.88387608267908</v>
      </c>
      <c r="T33" s="519">
        <f t="shared" si="77"/>
        <v>4075.1800556596418</v>
      </c>
      <c r="U33" s="519">
        <f t="shared" si="78"/>
        <v>20987.195043739935</v>
      </c>
      <c r="V33" s="3"/>
      <c r="W33" s="596">
        <f t="shared" si="79"/>
        <v>2023</v>
      </c>
      <c r="X33" s="1101">
        <f t="shared" si="80"/>
        <v>15069.340649200796</v>
      </c>
      <c r="Y33" s="1102">
        <f t="shared" si="81"/>
        <v>1170.8361920719929</v>
      </c>
      <c r="Z33" s="1102">
        <f t="shared" si="82"/>
        <v>274.67843923294652</v>
      </c>
      <c r="AA33" s="1102">
        <f t="shared" si="83"/>
        <v>4156.4168668213024</v>
      </c>
      <c r="AB33" s="1142">
        <f t="shared" si="22"/>
        <v>20671.272147327039</v>
      </c>
      <c r="AC33" s="1423" t="str">
        <f>IF(OR('Recycling - Case 1'!AC103="No",'Recycling - Case 1'!T143="No"), "No", "Yes")</f>
        <v>Yes</v>
      </c>
      <c r="AD33" s="1101">
        <f t="shared" si="84"/>
        <v>15069.340649200796</v>
      </c>
      <c r="AE33" s="1102">
        <f t="shared" si="85"/>
        <v>1170.8361920719929</v>
      </c>
      <c r="AF33" s="1102">
        <f t="shared" si="86"/>
        <v>274.67843923294652</v>
      </c>
      <c r="AG33" s="1102">
        <f t="shared" si="87"/>
        <v>4156.4168668213024</v>
      </c>
      <c r="AH33" s="1142">
        <f t="shared" si="60"/>
        <v>20671.272147327039</v>
      </c>
      <c r="AI33" s="1423" t="str">
        <f>IF(OR('Recycling - Case 1'!AI14="No",'Recycling - Case 1'!Z143="No"), "No", "Yes")</f>
        <v>Yes</v>
      </c>
      <c r="AJ33" s="1101">
        <f t="shared" si="88"/>
        <v>14858.705480257062</v>
      </c>
      <c r="AK33" s="1102">
        <f t="shared" si="89"/>
        <v>1389.238772998541</v>
      </c>
      <c r="AL33" s="1102">
        <f t="shared" si="90"/>
        <v>217.34002107405581</v>
      </c>
      <c r="AM33" s="1102">
        <f t="shared" si="91"/>
        <v>4473.1659836582639</v>
      </c>
      <c r="AN33" s="1142">
        <f t="shared" si="92"/>
        <v>20938.450257987919</v>
      </c>
      <c r="AO33" s="1416" t="str">
        <f>IF(OR('Recycling - Case 2'!AC103="No",'Recycling - Case 2'!T143="No"), "No", "Yes")</f>
        <v>No</v>
      </c>
      <c r="AP33" s="1101">
        <f t="shared" si="93"/>
        <v>14858.705480257062</v>
      </c>
      <c r="AQ33" s="1102">
        <f t="shared" si="94"/>
        <v>1389.238772998541</v>
      </c>
      <c r="AR33" s="1102">
        <f t="shared" si="95"/>
        <v>217.34002107405581</v>
      </c>
      <c r="AS33" s="1102">
        <f t="shared" si="96"/>
        <v>4473.1659836582639</v>
      </c>
      <c r="AT33" s="1142">
        <f t="shared" si="37"/>
        <v>20938.450257987919</v>
      </c>
      <c r="AU33" s="1423" t="str">
        <f>IF(OR('Recycling - Case 2'!AC103="No",'Recycling - Case 2'!T183="No"), "No", "Yes")</f>
        <v>No</v>
      </c>
      <c r="AV33" s="1101">
        <f t="shared" si="63"/>
        <v>14858.814998935199</v>
      </c>
      <c r="AW33" s="1102">
        <f t="shared" si="64"/>
        <v>843.71406346833191</v>
      </c>
      <c r="AX33" s="1102">
        <f t="shared" si="65"/>
        <v>217.34002107405581</v>
      </c>
      <c r="AY33" s="1102">
        <f t="shared" si="66"/>
        <v>4473.1659836582639</v>
      </c>
      <c r="AZ33" s="1142">
        <f t="shared" si="67"/>
        <v>20393.03506713585</v>
      </c>
      <c r="BA33" s="1423" t="str">
        <f>IF(OR('Recycling - Case 3'!AC103="No",'Recycling - Case 3'!T143="No"), "No", "Yes")</f>
        <v>No</v>
      </c>
      <c r="BB33" s="1101">
        <f t="shared" si="97"/>
        <v>14858.814998935199</v>
      </c>
      <c r="BC33" s="1102">
        <f t="shared" si="98"/>
        <v>843.71406346833191</v>
      </c>
      <c r="BD33" s="1102">
        <f t="shared" si="99"/>
        <v>217.34002107405581</v>
      </c>
      <c r="BE33" s="1102">
        <f t="shared" si="100"/>
        <v>4473.1659836582639</v>
      </c>
      <c r="BF33" s="1142">
        <f t="shared" si="47"/>
        <v>20393.03506713585</v>
      </c>
      <c r="BG33" s="1423" t="str">
        <f>IF(OR('Recycling - Case 3'!AC103="No",'Recycling - Case 3'!T183="No"), "No", "Yes")</f>
        <v>No</v>
      </c>
      <c r="BH33" s="596">
        <f t="shared" si="48"/>
        <v>2023</v>
      </c>
      <c r="BI33" s="1102">
        <f>'Recycling - Case 1'!BV103</f>
        <v>101.39731521582218</v>
      </c>
      <c r="BJ33" s="417">
        <f>'Recycling - Case 1'!BW103</f>
        <v>0.43001822850288007</v>
      </c>
      <c r="BK33" s="1142">
        <f>'Recycling - Case 1'!BX103</f>
        <v>49.695564714711665</v>
      </c>
      <c r="BL33" s="1101">
        <f>'Recycling - Case 1'!BY103</f>
        <v>101.39731521582218</v>
      </c>
      <c r="BM33" s="417">
        <f>'Recycling - Case 1'!BZ103</f>
        <v>0.43001822850288007</v>
      </c>
      <c r="BN33" s="1142">
        <f>'Recycling - Case 1'!CA103</f>
        <v>49.695564714711665</v>
      </c>
      <c r="BO33" s="1102">
        <f>'Recycling - Case 2'!BV103</f>
        <v>94.919649967461893</v>
      </c>
      <c r="BP33" s="417">
        <f>'Recycling - Case 2'!BW103</f>
        <v>0.53527295402560937</v>
      </c>
      <c r="BQ33" s="1142">
        <f>'Recycling - Case 2'!BX103</f>
        <v>49.695564714711665</v>
      </c>
      <c r="BR33" s="1101">
        <f>'Recycling - Case 2'!BY103</f>
        <v>94.919649967461893</v>
      </c>
      <c r="BS33" s="417">
        <f>'Recycling - Case 2'!BZ103</f>
        <v>0.53527295402560937</v>
      </c>
      <c r="BT33" s="1142">
        <f>'Recycling - Case 2'!CA103</f>
        <v>49.695564714711665</v>
      </c>
      <c r="BU33" s="1102">
        <f>'Recycling - Case 3'!BV103</f>
        <v>94.919649967461893</v>
      </c>
      <c r="BV33" s="417">
        <f>'Recycling - Case 3'!BW103</f>
        <v>0.53527295402560937</v>
      </c>
      <c r="BW33" s="1142">
        <f>'Recycling - Case 3'!BX103</f>
        <v>49.695564714711665</v>
      </c>
      <c r="BX33" s="1101">
        <f>'Recycling - Case 3'!BY103</f>
        <v>94.919649967461893</v>
      </c>
      <c r="BY33" s="417">
        <f>'Recycling - Case 3'!BZ103</f>
        <v>0.53527295402560937</v>
      </c>
      <c r="BZ33" s="1142">
        <f>'Recycling - Case 3'!CA103</f>
        <v>49.695564714711665</v>
      </c>
      <c r="CA33" s="596">
        <v>2023</v>
      </c>
      <c r="CB33" s="649">
        <f>'Recycling - Case 1'!CB103</f>
        <v>0.11889879957863858</v>
      </c>
      <c r="CC33" s="417">
        <f>'Recycling - Case 1'!CC103</f>
        <v>0.24370274005673687</v>
      </c>
      <c r="CD33" s="417">
        <f>'Recycling - Case 1'!CD103</f>
        <v>0.11889879957863858</v>
      </c>
      <c r="CE33" s="525">
        <f>'Recycling - Case 1'!CE103</f>
        <v>0.24370274005673687</v>
      </c>
      <c r="CF33" s="649">
        <f>'Recycling - Case 2'!CB103</f>
        <v>0.17661362793734681</v>
      </c>
      <c r="CG33" s="417">
        <f>'Recycling - Case 2'!CC103</f>
        <v>0.2916598899170304</v>
      </c>
      <c r="CH33" s="417">
        <f>'Recycling - Case 2'!CD103</f>
        <v>0.17661362793734681</v>
      </c>
      <c r="CI33" s="525">
        <f>'Recycling - Case 2'!CE103</f>
        <v>0.2916598899170304</v>
      </c>
      <c r="CJ33" s="649">
        <f>'Recycling - Case 3'!CB103</f>
        <v>0.17661362793734681</v>
      </c>
      <c r="CK33" s="417">
        <f>'Recycling - Case 3'!CC103</f>
        <v>0.2916598899170304</v>
      </c>
      <c r="CL33" s="417">
        <f>'Recycling - Case 3'!CD103</f>
        <v>0.17661362793734681</v>
      </c>
      <c r="CM33" s="525">
        <f>'Recycling - Case 3'!CE103</f>
        <v>0.2916598899170304</v>
      </c>
    </row>
    <row r="34" spans="1:91">
      <c r="A34" s="4">
        <f>'Input data'!A123</f>
        <v>2023</v>
      </c>
      <c r="B34" s="4"/>
      <c r="C34" s="769">
        <f>'4A SWD Case 1'!BG93</f>
        <v>717.5876499619427</v>
      </c>
      <c r="D34" s="3">
        <f>'4B Biological treatment '!T87</f>
        <v>0.64938224740543149</v>
      </c>
      <c r="E34" s="1157">
        <f>'4B Biological treatment '!U87</f>
        <v>29.222201133244411</v>
      </c>
      <c r="F34" s="1157">
        <f>'4B Biological treatment '!W87</f>
        <v>1.7533320679946647</v>
      </c>
      <c r="G34" s="952">
        <f>'4C2 Open-burning '!R94</f>
        <v>28.858943665621116</v>
      </c>
      <c r="H34" s="952">
        <f>'4C2 Open-burning '!Z94</f>
        <v>9.710151016168842</v>
      </c>
      <c r="I34" s="952">
        <f>'4C2 Open-burning '!AH94</f>
        <v>0.13518169105735395</v>
      </c>
      <c r="J34" s="987">
        <f>'4D Wastewater treatment and dis'!AV131</f>
        <v>152.23774169979643</v>
      </c>
      <c r="K34" s="770">
        <f>'4D Wastewater treatment and dis'!AW131</f>
        <v>3.0949170681470224</v>
      </c>
      <c r="L34" s="771">
        <f t="shared" si="69"/>
        <v>15069.340649200796</v>
      </c>
      <c r="M34" s="772">
        <f t="shared" si="70"/>
        <v>13.637027195514062</v>
      </c>
      <c r="N34" s="771">
        <f t="shared" si="71"/>
        <v>1157.1991648764788</v>
      </c>
      <c r="O34" s="773">
        <f t="shared" si="72"/>
        <v>274.67843923294652</v>
      </c>
      <c r="P34" s="771">
        <f t="shared" si="73"/>
        <v>4156.4168668213024</v>
      </c>
      <c r="Q34" s="519">
        <f t="shared" si="74"/>
        <v>15069.340649200796</v>
      </c>
      <c r="R34" s="521">
        <f t="shared" si="75"/>
        <v>1170.8361920719929</v>
      </c>
      <c r="S34" s="518">
        <f t="shared" si="76"/>
        <v>274.67843923294652</v>
      </c>
      <c r="T34" s="519">
        <f t="shared" si="77"/>
        <v>4156.4168668213024</v>
      </c>
      <c r="U34" s="519">
        <f t="shared" si="78"/>
        <v>20671.272147327039</v>
      </c>
      <c r="V34" s="3"/>
      <c r="W34" s="596">
        <f t="shared" si="79"/>
        <v>2024</v>
      </c>
      <c r="X34" s="1101">
        <f t="shared" si="80"/>
        <v>14615.141834249252</v>
      </c>
      <c r="Y34" s="1102">
        <f t="shared" si="81"/>
        <v>1233.2524094397813</v>
      </c>
      <c r="Z34" s="1102">
        <f t="shared" si="82"/>
        <v>267.68465368255238</v>
      </c>
      <c r="AA34" s="1102">
        <f t="shared" si="83"/>
        <v>4238.9841554957311</v>
      </c>
      <c r="AB34" s="1142">
        <f t="shared" si="22"/>
        <v>20355.063052867317</v>
      </c>
      <c r="AC34" s="1423" t="str">
        <f>IF(OR('Recycling - Case 1'!AC104="No",'Recycling - Case 1'!T144="No"), "No", "Yes")</f>
        <v>Yes</v>
      </c>
      <c r="AD34" s="1101">
        <f t="shared" si="84"/>
        <v>14615.141834249252</v>
      </c>
      <c r="AE34" s="1102">
        <f t="shared" si="85"/>
        <v>1233.2524094397813</v>
      </c>
      <c r="AF34" s="1102">
        <f t="shared" si="86"/>
        <v>267.68465368255238</v>
      </c>
      <c r="AG34" s="1102">
        <f t="shared" si="87"/>
        <v>4238.9841554957311</v>
      </c>
      <c r="AH34" s="1142">
        <f t="shared" si="60"/>
        <v>20355.063052867317</v>
      </c>
      <c r="AI34" s="1423" t="str">
        <f>IF(OR('Recycling - Case 1'!AI15="No",'Recycling - Case 1'!Z144="No"), "No", "Yes")</f>
        <v>Yes</v>
      </c>
      <c r="AJ34" s="1101">
        <f t="shared" si="88"/>
        <v>14302.704940264979</v>
      </c>
      <c r="AK34" s="1102">
        <f t="shared" si="89"/>
        <v>1397.0543451346925</v>
      </c>
      <c r="AL34" s="1102">
        <f t="shared" si="90"/>
        <v>205.3038143886219</v>
      </c>
      <c r="AM34" s="1102">
        <f t="shared" si="91"/>
        <v>4612.7797461997052</v>
      </c>
      <c r="AN34" s="1142">
        <f t="shared" si="92"/>
        <v>20517.842845988001</v>
      </c>
      <c r="AO34" s="1416" t="str">
        <f>IF(OR('Recycling - Case 2'!AC104="No",'Recycling - Case 2'!T144="No"), "No", "Yes")</f>
        <v>No</v>
      </c>
      <c r="AP34" s="1101">
        <f t="shared" si="93"/>
        <v>14302.704940264979</v>
      </c>
      <c r="AQ34" s="1102">
        <f t="shared" si="94"/>
        <v>1397.0543451346925</v>
      </c>
      <c r="AR34" s="1102">
        <f t="shared" si="95"/>
        <v>205.3038143886219</v>
      </c>
      <c r="AS34" s="1102">
        <f t="shared" si="96"/>
        <v>4612.7797461997052</v>
      </c>
      <c r="AT34" s="1142">
        <f t="shared" si="37"/>
        <v>20517.842845988001</v>
      </c>
      <c r="AU34" s="1423" t="str">
        <f>IF(OR('Recycling - Case 2'!AC104="No",'Recycling - Case 2'!T184="No"), "No", "Yes")</f>
        <v>No</v>
      </c>
      <c r="AV34" s="1101">
        <f t="shared" si="63"/>
        <v>14302.856682886855</v>
      </c>
      <c r="AW34" s="1102">
        <f t="shared" si="64"/>
        <v>848.46062558096969</v>
      </c>
      <c r="AX34" s="1102">
        <f t="shared" si="65"/>
        <v>205.3038143886219</v>
      </c>
      <c r="AY34" s="1102">
        <f t="shared" si="66"/>
        <v>4612.7797461997052</v>
      </c>
      <c r="AZ34" s="1142">
        <f t="shared" si="67"/>
        <v>19969.400869056153</v>
      </c>
      <c r="BA34" s="1423" t="str">
        <f>IF(OR('Recycling - Case 3'!AC104="No",'Recycling - Case 3'!T144="No"), "No", "Yes")</f>
        <v>No</v>
      </c>
      <c r="BB34" s="1101">
        <f t="shared" si="97"/>
        <v>14302.856682886855</v>
      </c>
      <c r="BC34" s="1102">
        <f t="shared" si="98"/>
        <v>848.46062558096969</v>
      </c>
      <c r="BD34" s="1102">
        <f t="shared" si="99"/>
        <v>205.3038143886219</v>
      </c>
      <c r="BE34" s="1102">
        <f t="shared" si="100"/>
        <v>4612.7797461997052</v>
      </c>
      <c r="BF34" s="1142">
        <f t="shared" si="47"/>
        <v>19969.400869056153</v>
      </c>
      <c r="BG34" s="1423" t="str">
        <f>IF(OR('Recycling - Case 3'!AC104="No",'Recycling - Case 3'!T184="No"), "No", "Yes")</f>
        <v>No</v>
      </c>
      <c r="BH34" s="596">
        <f t="shared" si="48"/>
        <v>2024</v>
      </c>
      <c r="BI34" s="1102">
        <f>'Recycling - Case 1'!BV104</f>
        <v>99.831483745770683</v>
      </c>
      <c r="BJ34" s="417">
        <f>'Recycling - Case 1'!BW104</f>
        <v>0.45113726754885164</v>
      </c>
      <c r="BK34" s="1142">
        <f>'Recycling - Case 1'!BX104</f>
        <v>49.925010483280978</v>
      </c>
      <c r="BL34" s="1101">
        <f>'Recycling - Case 1'!BY104</f>
        <v>99.831483745770683</v>
      </c>
      <c r="BM34" s="417">
        <f>'Recycling - Case 1'!BZ104</f>
        <v>0.45113726754885164</v>
      </c>
      <c r="BN34" s="1142">
        <f>'Recycling - Case 1'!CA104</f>
        <v>49.925010483280978</v>
      </c>
      <c r="BO34" s="1102">
        <f>'Recycling - Case 2'!BV104</f>
        <v>95.417503736729643</v>
      </c>
      <c r="BP34" s="417">
        <f>'Recycling - Case 2'!BW104</f>
        <v>0.55294258122958317</v>
      </c>
      <c r="BQ34" s="1142">
        <f>'Recycling - Case 2'!BX104</f>
        <v>49.925010483280978</v>
      </c>
      <c r="BR34" s="1101">
        <f>'Recycling - Case 2'!BY104</f>
        <v>95.417503736729643</v>
      </c>
      <c r="BS34" s="417">
        <f>'Recycling - Case 2'!BZ104</f>
        <v>0.55294258122958317</v>
      </c>
      <c r="BT34" s="1142">
        <f>'Recycling - Case 2'!CA104</f>
        <v>49.925010483280978</v>
      </c>
      <c r="BU34" s="1102">
        <f>'Recycling - Case 3'!BV104</f>
        <v>95.417503736729643</v>
      </c>
      <c r="BV34" s="417">
        <f>'Recycling - Case 3'!BW104</f>
        <v>0.55294258122958317</v>
      </c>
      <c r="BW34" s="1142">
        <f>'Recycling - Case 3'!BX104</f>
        <v>49.925010483280978</v>
      </c>
      <c r="BX34" s="1101">
        <f>'Recycling - Case 3'!BY104</f>
        <v>95.417503736729643</v>
      </c>
      <c r="BY34" s="417">
        <f>'Recycling - Case 3'!BZ104</f>
        <v>0.55294258122958317</v>
      </c>
      <c r="BZ34" s="1142">
        <f>'Recycling - Case 3'!CA104</f>
        <v>49.925010483280978</v>
      </c>
      <c r="CA34" s="596">
        <v>2024</v>
      </c>
      <c r="CB34" s="649">
        <f>'Recycling - Case 1'!CB104</f>
        <v>0.13265100107403016</v>
      </c>
      <c r="CC34" s="417">
        <f>'Recycling - Case 1'!CC104</f>
        <v>0.26793381230323288</v>
      </c>
      <c r="CD34" s="417">
        <f>'Recycling - Case 1'!CD104</f>
        <v>0.13265100107403016</v>
      </c>
      <c r="CE34" s="525">
        <f>'Recycling - Case 1'!CE104</f>
        <v>0.26793381230323288</v>
      </c>
      <c r="CF34" s="649">
        <f>'Recycling - Case 2'!CB104</f>
        <v>0.19519681863773264</v>
      </c>
      <c r="CG34" s="417">
        <f>'Recycling - Case 2'!CC104</f>
        <v>0.29424060922671458</v>
      </c>
      <c r="CH34" s="417">
        <f>'Recycling - Case 2'!CD104</f>
        <v>0.19519681863773264</v>
      </c>
      <c r="CI34" s="525">
        <f>'Recycling - Case 2'!CE104</f>
        <v>0.29424060922671458</v>
      </c>
      <c r="CJ34" s="649">
        <f>'Recycling - Case 3'!CB104</f>
        <v>0.19519681863773264</v>
      </c>
      <c r="CK34" s="417">
        <f>'Recycling - Case 3'!CC104</f>
        <v>0.29424060922671458</v>
      </c>
      <c r="CL34" s="417">
        <f>'Recycling - Case 3'!CD104</f>
        <v>0.19519681863773264</v>
      </c>
      <c r="CM34" s="525">
        <f>'Recycling - Case 3'!CE104</f>
        <v>0.29424060922671458</v>
      </c>
    </row>
    <row r="35" spans="1:91">
      <c r="A35" s="4">
        <f>'Input data'!A124</f>
        <v>2024</v>
      </c>
      <c r="B35" s="4"/>
      <c r="C35" s="769">
        <f>'4A SWD Case 1'!BG94</f>
        <v>695.9591349642501</v>
      </c>
      <c r="D35" s="3">
        <f>'4B Biological treatment '!T88</f>
        <v>0.68400022708806518</v>
      </c>
      <c r="E35" s="1157">
        <f>'4B Biological treatment '!U88</f>
        <v>30.780010218962929</v>
      </c>
      <c r="F35" s="1157">
        <f>'4B Biological treatment '!W88</f>
        <v>1.8468006131377757</v>
      </c>
      <c r="G35" s="952">
        <f>'4C2 Open-burning '!R95</f>
        <v>28.124145318244857</v>
      </c>
      <c r="H35" s="952">
        <f>'4C2 Open-burning '!Z95</f>
        <v>9.462913868401909</v>
      </c>
      <c r="I35" s="952">
        <f>'4C2 Open-burning '!AH95</f>
        <v>0.13173973267054012</v>
      </c>
      <c r="J35" s="987">
        <f>'4D Wastewater treatment and dis'!AV132</f>
        <v>155.64347086664165</v>
      </c>
      <c r="K35" s="770">
        <f>'4D Wastewater treatment and dis'!AW132</f>
        <v>3.1305524751492158</v>
      </c>
      <c r="L35" s="771">
        <f t="shared" si="69"/>
        <v>14615.141834249252</v>
      </c>
      <c r="M35" s="772">
        <f t="shared" si="70"/>
        <v>14.364004768849369</v>
      </c>
      <c r="N35" s="771">
        <f t="shared" si="71"/>
        <v>1218.888404670932</v>
      </c>
      <c r="O35" s="773">
        <f t="shared" si="72"/>
        <v>267.68465368255238</v>
      </c>
      <c r="P35" s="771">
        <f t="shared" si="73"/>
        <v>4238.9841554957311</v>
      </c>
      <c r="Q35" s="519">
        <f t="shared" si="74"/>
        <v>14615.141834249252</v>
      </c>
      <c r="R35" s="521">
        <f t="shared" si="75"/>
        <v>1233.2524094397813</v>
      </c>
      <c r="S35" s="518">
        <f t="shared" si="76"/>
        <v>267.68465368255238</v>
      </c>
      <c r="T35" s="519">
        <f t="shared" si="77"/>
        <v>4238.9841554957311</v>
      </c>
      <c r="U35" s="519">
        <f t="shared" si="78"/>
        <v>20355.063052867317</v>
      </c>
      <c r="V35" s="3"/>
      <c r="W35" s="596">
        <f t="shared" si="79"/>
        <v>2025</v>
      </c>
      <c r="X35" s="1101">
        <f t="shared" si="80"/>
        <v>14156.68325854351</v>
      </c>
      <c r="Y35" s="1102">
        <f t="shared" si="81"/>
        <v>1294.7298748213489</v>
      </c>
      <c r="Z35" s="1102">
        <f t="shared" si="82"/>
        <v>260.89544660619578</v>
      </c>
      <c r="AA35" s="1102">
        <f t="shared" si="83"/>
        <v>4322.9017903124422</v>
      </c>
      <c r="AB35" s="1142">
        <f t="shared" si="22"/>
        <v>20035.210370283494</v>
      </c>
      <c r="AC35" s="1423" t="str">
        <f>IF(OR('Recycling - Case 1'!AC105="No",'Recycling - Case 1'!T145="No"), "No", "Yes")</f>
        <v>Yes</v>
      </c>
      <c r="AD35" s="1101">
        <f t="shared" si="84"/>
        <v>14156.68325854351</v>
      </c>
      <c r="AE35" s="1102">
        <f t="shared" si="85"/>
        <v>1294.7298748213489</v>
      </c>
      <c r="AF35" s="1102">
        <f t="shared" si="86"/>
        <v>260.89544660619578</v>
      </c>
      <c r="AG35" s="1102">
        <f t="shared" si="87"/>
        <v>4322.9017903124422</v>
      </c>
      <c r="AH35" s="1142">
        <f t="shared" si="60"/>
        <v>20035.210370283494</v>
      </c>
      <c r="AI35" s="1423" t="str">
        <f>IF(OR('Recycling - Case 1'!AI16="No",'Recycling - Case 1'!Z145="No"), "No", "Yes")</f>
        <v>Yes</v>
      </c>
      <c r="AJ35" s="1101">
        <f t="shared" si="88"/>
        <v>13768.618406536101</v>
      </c>
      <c r="AK35" s="1102">
        <f t="shared" si="89"/>
        <v>1403.9311652846229</v>
      </c>
      <c r="AL35" s="1102">
        <f t="shared" si="90"/>
        <v>193.05753067442905</v>
      </c>
      <c r="AM35" s="1102">
        <f t="shared" si="91"/>
        <v>4755.015547311632</v>
      </c>
      <c r="AN35" s="1142">
        <f t="shared" si="92"/>
        <v>20120.622649806784</v>
      </c>
      <c r="AO35" s="1416" t="str">
        <f>IF(OR('Recycling - Case 2'!AC105="No",'Recycling - Case 2'!T145="No"), "No", "Yes")</f>
        <v>No</v>
      </c>
      <c r="AP35" s="1101">
        <f t="shared" si="93"/>
        <v>13768.618406536101</v>
      </c>
      <c r="AQ35" s="1102">
        <f t="shared" si="94"/>
        <v>1403.9311652846229</v>
      </c>
      <c r="AR35" s="1102">
        <f t="shared" si="95"/>
        <v>193.05753067442905</v>
      </c>
      <c r="AS35" s="1102">
        <f t="shared" si="96"/>
        <v>4755.015547311632</v>
      </c>
      <c r="AT35" s="1142">
        <f t="shared" si="37"/>
        <v>20120.622649806784</v>
      </c>
      <c r="AU35" s="1423" t="str">
        <f>IF(OR('Recycling - Case 2'!AC105="No",'Recycling - Case 2'!T185="No"), "No", "Yes")</f>
        <v>No</v>
      </c>
      <c r="AV35" s="1101">
        <f t="shared" si="63"/>
        <v>13768.818667351083</v>
      </c>
      <c r="AW35" s="1102">
        <f t="shared" si="64"/>
        <v>852.63706377518713</v>
      </c>
      <c r="AX35" s="1102">
        <f t="shared" si="65"/>
        <v>193.05753067442905</v>
      </c>
      <c r="AY35" s="1102">
        <f t="shared" si="66"/>
        <v>4755.015547311632</v>
      </c>
      <c r="AZ35" s="1142">
        <f t="shared" si="67"/>
        <v>19569.528809112329</v>
      </c>
      <c r="BA35" s="1423" t="str">
        <f>IF(OR('Recycling - Case 3'!AC105="No",'Recycling - Case 3'!T145="No"), "No", "Yes")</f>
        <v>No</v>
      </c>
      <c r="BB35" s="1101">
        <f t="shared" si="97"/>
        <v>13768.818667351083</v>
      </c>
      <c r="BC35" s="1102">
        <f t="shared" si="98"/>
        <v>852.63706377518713</v>
      </c>
      <c r="BD35" s="1102">
        <f t="shared" si="99"/>
        <v>193.05753067442905</v>
      </c>
      <c r="BE35" s="1102">
        <f t="shared" si="100"/>
        <v>4755.015547311632</v>
      </c>
      <c r="BF35" s="1142">
        <f t="shared" si="47"/>
        <v>19569.528809112329</v>
      </c>
      <c r="BG35" s="1423" t="str">
        <f>IF(OR('Recycling - Case 3'!AC105="No",'Recycling - Case 3'!T185="No"), "No", "Yes")</f>
        <v>No</v>
      </c>
      <c r="BH35" s="596">
        <f t="shared" si="48"/>
        <v>2025</v>
      </c>
      <c r="BI35" s="1102">
        <f>'Recycling - Case 1'!BV105</f>
        <v>98.441274251518365</v>
      </c>
      <c r="BJ35" s="417">
        <f>'Recycling - Case 1'!BW105</f>
        <v>0.47228688329680357</v>
      </c>
      <c r="BK35" s="1142">
        <f>'Recycling - Case 1'!BX105</f>
        <v>50.358140956147174</v>
      </c>
      <c r="BL35" s="1101">
        <f>'Recycling - Case 1'!BY105</f>
        <v>98.441274251518365</v>
      </c>
      <c r="BM35" s="417">
        <f>'Recycling - Case 1'!BZ105</f>
        <v>0.47228688329680357</v>
      </c>
      <c r="BN35" s="1142">
        <f>'Recycling - Case 1'!CA105</f>
        <v>50.358140956147174</v>
      </c>
      <c r="BO35" s="1102">
        <f>'Recycling - Case 2'!BV105</f>
        <v>96.059347468913728</v>
      </c>
      <c r="BP35" s="417">
        <f>'Recycling - Case 2'!BW105</f>
        <v>0.56964880017415198</v>
      </c>
      <c r="BQ35" s="1142">
        <f>'Recycling - Case 2'!BX105</f>
        <v>50.358140956147174</v>
      </c>
      <c r="BR35" s="1101">
        <f>'Recycling - Case 2'!BY105</f>
        <v>96.059347468913728</v>
      </c>
      <c r="BS35" s="417">
        <f>'Recycling - Case 2'!BZ105</f>
        <v>0.56964880017415198</v>
      </c>
      <c r="BT35" s="1142">
        <f>'Recycling - Case 2'!CA105</f>
        <v>50.358140956147174</v>
      </c>
      <c r="BU35" s="1102">
        <f>'Recycling - Case 3'!BV105</f>
        <v>96.059347468913728</v>
      </c>
      <c r="BV35" s="417">
        <f>'Recycling - Case 3'!BW105</f>
        <v>0.56964880017415198</v>
      </c>
      <c r="BW35" s="1142">
        <f>'Recycling - Case 3'!BX105</f>
        <v>50.358140956147174</v>
      </c>
      <c r="BX35" s="1101">
        <f>'Recycling - Case 3'!BY105</f>
        <v>96.059347468913728</v>
      </c>
      <c r="BY35" s="417">
        <f>'Recycling - Case 3'!BZ105</f>
        <v>0.56964880017415198</v>
      </c>
      <c r="BZ35" s="1142">
        <f>'Recycling - Case 3'!CA105</f>
        <v>50.358140956147174</v>
      </c>
      <c r="CA35" s="596">
        <v>2025</v>
      </c>
      <c r="CB35" s="649">
        <f>'Recycling - Case 1'!CB105</f>
        <v>0.14528032436176563</v>
      </c>
      <c r="CC35" s="417">
        <f>'Recycling - Case 1'!CC105</f>
        <v>0.29049585113309173</v>
      </c>
      <c r="CD35" s="417">
        <f>'Recycling - Case 1'!CD105</f>
        <v>0.14528032436176563</v>
      </c>
      <c r="CE35" s="525">
        <f>'Recycling - Case 1'!CE105</f>
        <v>0.29049585113309173</v>
      </c>
      <c r="CF35" s="649">
        <f>'Recycling - Case 2'!CB105</f>
        <v>0.21340034507035144</v>
      </c>
      <c r="CG35" s="417">
        <f>'Recycling - Case 2'!CC105</f>
        <v>0.29581125115006557</v>
      </c>
      <c r="CH35" s="417">
        <f>'Recycling - Case 2'!CD105</f>
        <v>0.21340034507035144</v>
      </c>
      <c r="CI35" s="525">
        <f>'Recycling - Case 2'!CE105</f>
        <v>0.29581125115006557</v>
      </c>
      <c r="CJ35" s="649">
        <f>'Recycling - Case 3'!CB105</f>
        <v>0.21340034507035144</v>
      </c>
      <c r="CK35" s="417">
        <f>'Recycling - Case 3'!CC105</f>
        <v>0.29581125115006557</v>
      </c>
      <c r="CL35" s="417">
        <f>'Recycling - Case 3'!CD105</f>
        <v>0.21340034507035144</v>
      </c>
      <c r="CM35" s="525">
        <f>'Recycling - Case 3'!CE105</f>
        <v>0.29581125115006557</v>
      </c>
    </row>
    <row r="36" spans="1:91">
      <c r="A36" s="4">
        <f>'Input data'!A125</f>
        <v>2025</v>
      </c>
      <c r="B36" s="4"/>
      <c r="C36" s="769">
        <f>'4A SWD Case 1'!BG95</f>
        <v>674.12777421635758</v>
      </c>
      <c r="D36" s="3">
        <f>'4B Biological treatment '!T89</f>
        <v>0.71809754565798634</v>
      </c>
      <c r="E36" s="1157">
        <f>'4B Biological treatment '!U89</f>
        <v>32.314389554609377</v>
      </c>
      <c r="F36" s="1157">
        <f>'4B Biological treatment '!W89</f>
        <v>1.9388633732765626</v>
      </c>
      <c r="G36" s="952">
        <f>'4C2 Open-burning '!R96</f>
        <v>27.410840899092218</v>
      </c>
      <c r="H36" s="952">
        <f>'4C2 Open-burning '!Z96</f>
        <v>9.222908769437602</v>
      </c>
      <c r="I36" s="952">
        <f>'4C2 Open-burning '!AH96</f>
        <v>0.1283984566093998</v>
      </c>
      <c r="J36" s="987">
        <f>'4D Wastewater treatment and dis'!AV133</f>
        <v>159.10744524111379</v>
      </c>
      <c r="K36" s="770">
        <f>'4D Wastewater treatment and dis'!AW133</f>
        <v>3.166598194351784</v>
      </c>
      <c r="L36" s="771">
        <f t="shared" si="69"/>
        <v>14156.68325854351</v>
      </c>
      <c r="M36" s="772">
        <f t="shared" si="70"/>
        <v>15.080048458817712</v>
      </c>
      <c r="N36" s="771">
        <f t="shared" si="71"/>
        <v>1279.6498263625313</v>
      </c>
      <c r="O36" s="773">
        <f t="shared" si="72"/>
        <v>260.89544660619578</v>
      </c>
      <c r="P36" s="771">
        <f t="shared" si="73"/>
        <v>4322.9017903124422</v>
      </c>
      <c r="Q36" s="519">
        <f t="shared" si="74"/>
        <v>14156.68325854351</v>
      </c>
      <c r="R36" s="521">
        <f t="shared" si="75"/>
        <v>1294.7298748213489</v>
      </c>
      <c r="S36" s="518">
        <f t="shared" si="76"/>
        <v>260.89544660619578</v>
      </c>
      <c r="T36" s="519">
        <f t="shared" si="77"/>
        <v>4322.9017903124422</v>
      </c>
      <c r="U36" s="519">
        <f t="shared" si="78"/>
        <v>20035.210370283494</v>
      </c>
      <c r="V36" s="3"/>
      <c r="W36" s="596">
        <f t="shared" si="79"/>
        <v>2026</v>
      </c>
      <c r="X36" s="1101">
        <f t="shared" si="80"/>
        <v>13695.636068087801</v>
      </c>
      <c r="Y36" s="1102">
        <f t="shared" si="81"/>
        <v>1355.6506062112462</v>
      </c>
      <c r="Z36" s="1102">
        <f t="shared" si="82"/>
        <v>254.421083403664</v>
      </c>
      <c r="AA36" s="1102">
        <f t="shared" si="83"/>
        <v>4400.9219620497197</v>
      </c>
      <c r="AB36" s="1142">
        <f t="shared" si="22"/>
        <v>19706.629719752429</v>
      </c>
      <c r="AC36" s="1423" t="str">
        <f>IF(OR('Recycling - Case 1'!AC106="No",'Recycling - Case 1'!T146="No"), "No", "Yes")</f>
        <v>Yes</v>
      </c>
      <c r="AD36" s="1101">
        <f t="shared" si="84"/>
        <v>13695.636068087801</v>
      </c>
      <c r="AE36" s="1102">
        <f t="shared" si="85"/>
        <v>1355.6506062112462</v>
      </c>
      <c r="AF36" s="1102">
        <f t="shared" si="86"/>
        <v>254.421083403664</v>
      </c>
      <c r="AG36" s="1102">
        <f t="shared" si="87"/>
        <v>4400.9219620497197</v>
      </c>
      <c r="AH36" s="1142">
        <f t="shared" si="60"/>
        <v>19706.629719752429</v>
      </c>
      <c r="AI36" s="1423" t="str">
        <f>IF(OR('Recycling - Case 1'!AI17="No",'Recycling - Case 1'!Z146="No"), "No", "Yes")</f>
        <v>Yes</v>
      </c>
      <c r="AJ36" s="1101">
        <f t="shared" si="88"/>
        <v>13254.819594248453</v>
      </c>
      <c r="AK36" s="1102">
        <f t="shared" si="89"/>
        <v>1410.2512514428831</v>
      </c>
      <c r="AL36" s="1102">
        <f t="shared" si="90"/>
        <v>180.70037146955198</v>
      </c>
      <c r="AM36" s="1102">
        <f t="shared" si="91"/>
        <v>4891.8365725125823</v>
      </c>
      <c r="AN36" s="1142">
        <f t="shared" si="92"/>
        <v>19737.607789673471</v>
      </c>
      <c r="AO36" s="1416" t="str">
        <f>IF(OR('Recycling - Case 2'!AC106="No",'Recycling - Case 2'!T146="No"), "No", "Yes")</f>
        <v>No</v>
      </c>
      <c r="AP36" s="1101">
        <f t="shared" si="93"/>
        <v>13254.819594248453</v>
      </c>
      <c r="AQ36" s="1102">
        <f t="shared" si="94"/>
        <v>1410.2512514428831</v>
      </c>
      <c r="AR36" s="1102">
        <f t="shared" si="95"/>
        <v>180.70037146955198</v>
      </c>
      <c r="AS36" s="1102">
        <f t="shared" si="96"/>
        <v>4891.8365725125823</v>
      </c>
      <c r="AT36" s="1142">
        <f t="shared" si="37"/>
        <v>19737.607789673471</v>
      </c>
      <c r="AU36" s="1423" t="str">
        <f>IF(OR('Recycling - Case 2'!AC106="No",'Recycling - Case 2'!T186="No"), "No", "Yes")</f>
        <v>No</v>
      </c>
      <c r="AV36" s="1101">
        <f t="shared" si="63"/>
        <v>13255.074496085181</v>
      </c>
      <c r="AW36" s="1102">
        <f t="shared" si="64"/>
        <v>856.47538565166769</v>
      </c>
      <c r="AX36" s="1102">
        <f t="shared" si="65"/>
        <v>180.70037146955198</v>
      </c>
      <c r="AY36" s="1102">
        <f t="shared" si="66"/>
        <v>4891.8365725125823</v>
      </c>
      <c r="AZ36" s="1142">
        <f t="shared" si="67"/>
        <v>19184.08682571898</v>
      </c>
      <c r="BA36" s="1423" t="str">
        <f>IF(OR('Recycling - Case 3'!AC106="No",'Recycling - Case 3'!T146="No"), "No", "Yes")</f>
        <v>No</v>
      </c>
      <c r="BB36" s="1101">
        <f t="shared" si="97"/>
        <v>13255.074496085181</v>
      </c>
      <c r="BC36" s="1102">
        <f t="shared" si="98"/>
        <v>856.47538565166769</v>
      </c>
      <c r="BD36" s="1102">
        <f t="shared" si="99"/>
        <v>180.70037146955198</v>
      </c>
      <c r="BE36" s="1102">
        <f t="shared" si="100"/>
        <v>4891.8365725125823</v>
      </c>
      <c r="BF36" s="1142">
        <f t="shared" si="47"/>
        <v>19184.08682571898</v>
      </c>
      <c r="BG36" s="1423" t="str">
        <f>IF(OR('Recycling - Case 3'!AC106="No",'Recycling - Case 3'!T186="No"), "No", "Yes")</f>
        <v>No</v>
      </c>
      <c r="BH36" s="596">
        <f t="shared" si="48"/>
        <v>2026</v>
      </c>
      <c r="BI36" s="1102">
        <f>'Recycling - Case 1'!BV106</f>
        <v>96.907374831151913</v>
      </c>
      <c r="BJ36" s="417">
        <f>'Recycling - Case 1'!BW106</f>
        <v>0.49176785130335549</v>
      </c>
      <c r="BK36" s="1142">
        <f>'Recycling - Case 1'!BX106</f>
        <v>48.568999176537098</v>
      </c>
      <c r="BL36" s="1101">
        <f>'Recycling - Case 1'!BY106</f>
        <v>96.907374831151913</v>
      </c>
      <c r="BM36" s="417">
        <f>'Recycling - Case 1'!BZ106</f>
        <v>0.49176785130335549</v>
      </c>
      <c r="BN36" s="1142">
        <f>'Recycling - Case 1'!CA106</f>
        <v>48.568999176537098</v>
      </c>
      <c r="BO36" s="1102">
        <f>'Recycling - Case 2'!BV106</f>
        <v>94.431291717526335</v>
      </c>
      <c r="BP36" s="417">
        <f>'Recycling - Case 2'!BW106</f>
        <v>0.59299438334623022</v>
      </c>
      <c r="BQ36" s="1142">
        <f>'Recycling - Case 2'!BX106</f>
        <v>48.568999176537098</v>
      </c>
      <c r="BR36" s="1101">
        <f>'Recycling - Case 2'!BY106</f>
        <v>94.431291717526335</v>
      </c>
      <c r="BS36" s="417">
        <f>'Recycling - Case 2'!BZ106</f>
        <v>0.59299438334623022</v>
      </c>
      <c r="BT36" s="1142">
        <f>'Recycling - Case 2'!CA106</f>
        <v>48.568999176537098</v>
      </c>
      <c r="BU36" s="1102">
        <f>'Recycling - Case 3'!BV106</f>
        <v>94.431291717526335</v>
      </c>
      <c r="BV36" s="417">
        <f>'Recycling - Case 3'!BW106</f>
        <v>0.59299438334623022</v>
      </c>
      <c r="BW36" s="1142">
        <f>'Recycling - Case 3'!BX106</f>
        <v>48.568999176537098</v>
      </c>
      <c r="BX36" s="1101">
        <f>'Recycling - Case 3'!BY106</f>
        <v>94.431291717526335</v>
      </c>
      <c r="BY36" s="417">
        <f>'Recycling - Case 3'!BZ106</f>
        <v>0.59299438334623022</v>
      </c>
      <c r="BZ36" s="1142">
        <f>'Recycling - Case 3'!CA106</f>
        <v>48.568999176537098</v>
      </c>
      <c r="CA36" s="596">
        <v>2026</v>
      </c>
      <c r="CB36" s="649">
        <f>'Recycling - Case 1'!CB106</f>
        <v>0.15588583154405877</v>
      </c>
      <c r="CC36" s="417">
        <f>'Recycling - Case 1'!CC106</f>
        <v>0.29891813504806297</v>
      </c>
      <c r="CD36" s="417">
        <f>'Recycling - Case 1'!CD106</f>
        <v>0.15588583154405877</v>
      </c>
      <c r="CE36" s="525">
        <f>'Recycling - Case 1'!CE106</f>
        <v>0.29891813504806297</v>
      </c>
      <c r="CF36" s="649">
        <f>'Recycling - Case 2'!CB106</f>
        <v>0.23044140465623386</v>
      </c>
      <c r="CG36" s="417">
        <f>'Recycling - Case 2'!CC106</f>
        <v>0.30335927190463674</v>
      </c>
      <c r="CH36" s="417">
        <f>'Recycling - Case 2'!CD106</f>
        <v>0.23044140465623386</v>
      </c>
      <c r="CI36" s="525">
        <f>'Recycling - Case 2'!CE106</f>
        <v>0.30335927190463674</v>
      </c>
      <c r="CJ36" s="649">
        <f>'Recycling - Case 3'!CB106</f>
        <v>0.23044140465623386</v>
      </c>
      <c r="CK36" s="417">
        <f>'Recycling - Case 3'!CC106</f>
        <v>0.30335927190463674</v>
      </c>
      <c r="CL36" s="417">
        <f>'Recycling - Case 3'!CD106</f>
        <v>0.23044140465623386</v>
      </c>
      <c r="CM36" s="525">
        <f>'Recycling - Case 3'!CE106</f>
        <v>0.30335927190463674</v>
      </c>
    </row>
    <row r="37" spans="1:91">
      <c r="A37" s="4">
        <f>'Input data'!A126</f>
        <v>2026</v>
      </c>
      <c r="B37" s="4"/>
      <c r="C37" s="769">
        <f>'4A SWD Case 1'!BG96</f>
        <v>652.17314609941911</v>
      </c>
      <c r="D37" s="3">
        <f>'4B Biological treatment '!T90</f>
        <v>0.75188608220257702</v>
      </c>
      <c r="E37" s="1157">
        <f>'4B Biological treatment '!U90</f>
        <v>33.83487369911596</v>
      </c>
      <c r="F37" s="1157">
        <f>'4B Biological treatment '!W90</f>
        <v>2.0300924219469576</v>
      </c>
      <c r="G37" s="952">
        <f>'4C2 Open-burning '!R97</f>
        <v>26.730615383560647</v>
      </c>
      <c r="H37" s="952">
        <f>'4C2 Open-burning '!Z97</f>
        <v>8.9940337088188294</v>
      </c>
      <c r="I37" s="952">
        <f>'4C2 Open-burning '!AH97</f>
        <v>0.12521212946744487</v>
      </c>
      <c r="J37" s="987">
        <f>'4D Wastewater treatment and dis'!AV134</f>
        <v>162.36241909655723</v>
      </c>
      <c r="K37" s="770">
        <f>'4D Wastewater treatment and dis'!AW134</f>
        <v>3.1977779387807019</v>
      </c>
      <c r="L37" s="771">
        <f t="shared" si="69"/>
        <v>13695.636068087801</v>
      </c>
      <c r="M37" s="772">
        <f t="shared" si="70"/>
        <v>15.789607726254118</v>
      </c>
      <c r="N37" s="771">
        <f t="shared" si="71"/>
        <v>1339.860998484992</v>
      </c>
      <c r="O37" s="773">
        <f t="shared" si="72"/>
        <v>254.421083403664</v>
      </c>
      <c r="P37" s="771">
        <f t="shared" si="73"/>
        <v>4400.9219620497197</v>
      </c>
      <c r="Q37" s="519">
        <f t="shared" si="74"/>
        <v>13695.636068087801</v>
      </c>
      <c r="R37" s="521">
        <f t="shared" si="75"/>
        <v>1355.6506062112462</v>
      </c>
      <c r="S37" s="518">
        <f t="shared" si="76"/>
        <v>254.421083403664</v>
      </c>
      <c r="T37" s="519">
        <f t="shared" si="77"/>
        <v>4400.9219620497197</v>
      </c>
      <c r="U37" s="519">
        <f t="shared" si="78"/>
        <v>19706.629719752429</v>
      </c>
      <c r="V37" s="3"/>
      <c r="W37" s="596">
        <f t="shared" si="79"/>
        <v>2027</v>
      </c>
      <c r="X37" s="1101">
        <f t="shared" si="80"/>
        <v>13243.749401820489</v>
      </c>
      <c r="Y37" s="1102">
        <f t="shared" si="81"/>
        <v>1416.0616512442098</v>
      </c>
      <c r="Z37" s="1102">
        <f t="shared" si="82"/>
        <v>248.16184383159901</v>
      </c>
      <c r="AA37" s="1102">
        <f t="shared" si="83"/>
        <v>4480.0594606132472</v>
      </c>
      <c r="AB37" s="1142">
        <f t="shared" si="22"/>
        <v>19388.032357509546</v>
      </c>
      <c r="AC37" s="1423" t="str">
        <f>IF(OR('Recycling - Case 1'!AC107="No",'Recycling - Case 1'!T147="No"), "No", "Yes")</f>
        <v>No</v>
      </c>
      <c r="AD37" s="1101">
        <f t="shared" si="84"/>
        <v>13243.749401820489</v>
      </c>
      <c r="AE37" s="1102">
        <f t="shared" si="85"/>
        <v>1416.0616512442098</v>
      </c>
      <c r="AF37" s="1102">
        <f t="shared" si="86"/>
        <v>248.16184383159901</v>
      </c>
      <c r="AG37" s="1102">
        <f t="shared" si="87"/>
        <v>4480.0594606132472</v>
      </c>
      <c r="AH37" s="1142">
        <f t="shared" si="60"/>
        <v>19388.032357509546</v>
      </c>
      <c r="AI37" s="1423" t="str">
        <f>IF(OR('Recycling - Case 1'!AI18="No",'Recycling - Case 1'!Z147="No"), "No", "Yes")</f>
        <v>Yes</v>
      </c>
      <c r="AJ37" s="1101">
        <f t="shared" si="88"/>
        <v>12759.671603325651</v>
      </c>
      <c r="AK37" s="1102">
        <f t="shared" si="89"/>
        <v>1416.0616512442098</v>
      </c>
      <c r="AL37" s="1102">
        <f t="shared" si="90"/>
        <v>168.10228643963038</v>
      </c>
      <c r="AM37" s="1102">
        <f t="shared" si="91"/>
        <v>5030.8909891052281</v>
      </c>
      <c r="AN37" s="1142">
        <f t="shared" si="92"/>
        <v>19374.72653011472</v>
      </c>
      <c r="AO37" s="1416" t="str">
        <f>IF(OR('Recycling - Case 2'!AC107="No",'Recycling - Case 2'!T147="No"), "No", "Yes")</f>
        <v>No</v>
      </c>
      <c r="AP37" s="1101">
        <f t="shared" si="93"/>
        <v>12759.671603325651</v>
      </c>
      <c r="AQ37" s="1102">
        <f t="shared" si="94"/>
        <v>1416.0616512442098</v>
      </c>
      <c r="AR37" s="1102">
        <f t="shared" si="95"/>
        <v>168.10228643963038</v>
      </c>
      <c r="AS37" s="1102">
        <f t="shared" si="96"/>
        <v>5030.8909891052281</v>
      </c>
      <c r="AT37" s="1142">
        <f t="shared" si="37"/>
        <v>19374.72653011472</v>
      </c>
      <c r="AU37" s="1423" t="str">
        <f>IF(OR('Recycling - Case 2'!AC107="No",'Recycling - Case 2'!T187="No"), "No", "Yes")</f>
        <v>No</v>
      </c>
      <c r="AV37" s="1101">
        <f t="shared" si="63"/>
        <v>12759.986986510228</v>
      </c>
      <c r="AW37" s="1102">
        <f t="shared" si="64"/>
        <v>860.00416423317233</v>
      </c>
      <c r="AX37" s="1102">
        <f t="shared" si="65"/>
        <v>168.10228643963038</v>
      </c>
      <c r="AY37" s="1102">
        <f t="shared" si="66"/>
        <v>5030.8909891052281</v>
      </c>
      <c r="AZ37" s="1142">
        <f t="shared" si="67"/>
        <v>18818.984426288262</v>
      </c>
      <c r="BA37" s="1423" t="str">
        <f>IF(OR('Recycling - Case 3'!AC107="No",'Recycling - Case 3'!T147="No"), "No", "Yes")</f>
        <v>No</v>
      </c>
      <c r="BB37" s="1101">
        <f t="shared" si="97"/>
        <v>12759.986986510228</v>
      </c>
      <c r="BC37" s="1102">
        <f t="shared" si="98"/>
        <v>860.00416423317233</v>
      </c>
      <c r="BD37" s="1102">
        <f t="shared" si="99"/>
        <v>168.10228643963038</v>
      </c>
      <c r="BE37" s="1102">
        <f t="shared" si="100"/>
        <v>5030.8909891052281</v>
      </c>
      <c r="BF37" s="1142">
        <f t="shared" si="47"/>
        <v>18818.984426288262</v>
      </c>
      <c r="BG37" s="1423" t="str">
        <f>IF(OR('Recycling - Case 3'!AC107="No",'Recycling - Case 3'!T187="No"), "No", "Yes")</f>
        <v>No</v>
      </c>
      <c r="BH37" s="596">
        <f t="shared" si="48"/>
        <v>2027</v>
      </c>
      <c r="BI37" s="1102">
        <f>'Recycling - Case 1'!BV107</f>
        <v>96.399561680965945</v>
      </c>
      <c r="BJ37" s="417">
        <f>'Recycling - Case 1'!BW107</f>
        <v>0.5084457193235622</v>
      </c>
      <c r="BK37" s="1142">
        <f>'Recycling - Case 1'!BX107</f>
        <v>48.190122249078179</v>
      </c>
      <c r="BL37" s="1101">
        <f>'Recycling - Case 1'!BY107</f>
        <v>96.399561680965945</v>
      </c>
      <c r="BM37" s="417">
        <f>'Recycling - Case 1'!BZ107</f>
        <v>0.5084457193235622</v>
      </c>
      <c r="BN37" s="1142">
        <f>'Recycling - Case 1'!CA107</f>
        <v>48.190122249078179</v>
      </c>
      <c r="BO37" s="1102">
        <f>'Recycling - Case 2'!BV107</f>
        <v>94.181019377283647</v>
      </c>
      <c r="BP37" s="417">
        <f>'Recycling - Case 2'!BW107</f>
        <v>0.61161661178772531</v>
      </c>
      <c r="BQ37" s="1142">
        <f>'Recycling - Case 2'!BX107</f>
        <v>48.190122249078179</v>
      </c>
      <c r="BR37" s="1101">
        <f>'Recycling - Case 2'!BY107</f>
        <v>94.181019377283647</v>
      </c>
      <c r="BS37" s="417">
        <f>'Recycling - Case 2'!BZ107</f>
        <v>0.61161661178772531</v>
      </c>
      <c r="BT37" s="1142">
        <f>'Recycling - Case 2'!CA107</f>
        <v>48.190122249078179</v>
      </c>
      <c r="BU37" s="1102">
        <f>'Recycling - Case 3'!BV107</f>
        <v>94.181019377283647</v>
      </c>
      <c r="BV37" s="417">
        <f>'Recycling - Case 3'!BW107</f>
        <v>0.61161661178772531</v>
      </c>
      <c r="BW37" s="1142">
        <f>'Recycling - Case 3'!BX107</f>
        <v>48.190122249078179</v>
      </c>
      <c r="BX37" s="1101">
        <f>'Recycling - Case 3'!BY107</f>
        <v>94.181019377283647</v>
      </c>
      <c r="BY37" s="417">
        <f>'Recycling - Case 3'!BZ107</f>
        <v>0.61161661178772531</v>
      </c>
      <c r="BZ37" s="1142">
        <f>'Recycling - Case 3'!CA107</f>
        <v>48.190122249078179</v>
      </c>
      <c r="CA37" s="596">
        <v>2027</v>
      </c>
      <c r="CB37" s="649">
        <f>'Recycling - Case 1'!CB107</f>
        <v>0.16554621920854717</v>
      </c>
      <c r="CC37" s="417">
        <f>'Recycling - Case 1'!CC107</f>
        <v>0.30670715972377605</v>
      </c>
      <c r="CD37" s="417">
        <f>'Recycling - Case 1'!CD107</f>
        <v>0.16554621920854717</v>
      </c>
      <c r="CE37" s="525">
        <f>'Recycling - Case 1'!CE107</f>
        <v>0.30670715972377605</v>
      </c>
      <c r="CF37" s="649">
        <f>'Recycling - Case 2'!CB107</f>
        <v>0.24719384179753368</v>
      </c>
      <c r="CG37" s="417">
        <f>'Recycling - Case 2'!CC107</f>
        <v>0.30670715972377605</v>
      </c>
      <c r="CH37" s="417">
        <f>'Recycling - Case 2'!CD107</f>
        <v>0.24719384179753368</v>
      </c>
      <c r="CI37" s="525">
        <f>'Recycling - Case 2'!CE107</f>
        <v>0.30670715972377605</v>
      </c>
      <c r="CJ37" s="649">
        <f>'Recycling - Case 3'!CB107</f>
        <v>0.24719384179753368</v>
      </c>
      <c r="CK37" s="417">
        <f>'Recycling - Case 3'!CC107</f>
        <v>0.30670715972377605</v>
      </c>
      <c r="CL37" s="417">
        <f>'Recycling - Case 3'!CD107</f>
        <v>0.24719384179753368</v>
      </c>
      <c r="CM37" s="525">
        <f>'Recycling - Case 3'!CE107</f>
        <v>0.30670715972377605</v>
      </c>
    </row>
    <row r="38" spans="1:91">
      <c r="A38" s="4">
        <f>'Input data'!A127</f>
        <v>2027</v>
      </c>
      <c r="B38" s="4"/>
      <c r="C38" s="769">
        <f>'4A SWD Case 1'!BG97</f>
        <v>630.65473342002326</v>
      </c>
      <c r="D38" s="3">
        <f>'4B Biological treatment '!T91</f>
        <v>0.78539193080655012</v>
      </c>
      <c r="E38" s="1157">
        <f>'4B Biological treatment '!U91</f>
        <v>35.342636886294748</v>
      </c>
      <c r="F38" s="1157">
        <f>'4B Biological treatment '!W91</f>
        <v>2.1205582131776852</v>
      </c>
      <c r="G38" s="952">
        <f>'4C2 Open-burning '!R98</f>
        <v>26.072991717486669</v>
      </c>
      <c r="H38" s="952">
        <f>'4C2 Open-burning '!Z98</f>
        <v>8.7727634785784918</v>
      </c>
      <c r="I38" s="952">
        <f>'4C2 Open-burning '!AH98</f>
        <v>0.12213167439988395</v>
      </c>
      <c r="J38" s="987">
        <f>'4D Wastewater treatment and dis'!AV135</f>
        <v>165.66606694292278</v>
      </c>
      <c r="K38" s="770">
        <f>'4D Wastewater treatment and dis'!AW135</f>
        <v>3.2292646929415123</v>
      </c>
      <c r="L38" s="771">
        <f t="shared" si="69"/>
        <v>13243.749401820489</v>
      </c>
      <c r="M38" s="772">
        <f t="shared" si="70"/>
        <v>16.493230546937554</v>
      </c>
      <c r="N38" s="771">
        <f t="shared" si="71"/>
        <v>1399.5684206972721</v>
      </c>
      <c r="O38" s="773">
        <f t="shared" si="72"/>
        <v>248.16184383159901</v>
      </c>
      <c r="P38" s="771">
        <f t="shared" si="73"/>
        <v>4480.0594606132472</v>
      </c>
      <c r="Q38" s="519">
        <f t="shared" si="74"/>
        <v>13243.749401820489</v>
      </c>
      <c r="R38" s="521">
        <f t="shared" si="75"/>
        <v>1416.0616512442098</v>
      </c>
      <c r="S38" s="518">
        <f t="shared" si="76"/>
        <v>248.16184383159901</v>
      </c>
      <c r="T38" s="519">
        <f t="shared" si="77"/>
        <v>4480.0594606132472</v>
      </c>
      <c r="U38" s="519">
        <f t="shared" si="78"/>
        <v>19388.032357509546</v>
      </c>
      <c r="V38" s="3"/>
      <c r="W38" s="596">
        <f t="shared" si="79"/>
        <v>2028</v>
      </c>
      <c r="X38" s="1101">
        <f t="shared" si="80"/>
        <v>12799.36662662356</v>
      </c>
      <c r="Y38" s="1102">
        <f t="shared" si="81"/>
        <v>1422.7903953324426</v>
      </c>
      <c r="Z38" s="1102">
        <f t="shared" si="82"/>
        <v>234.55354113759998</v>
      </c>
      <c r="AA38" s="1102">
        <f t="shared" si="83"/>
        <v>4560.3287251503234</v>
      </c>
      <c r="AB38" s="1142">
        <f t="shared" si="22"/>
        <v>19017.039288243926</v>
      </c>
      <c r="AC38" s="1423" t="str">
        <f>IF(OR('Recycling - Case 1'!AC108="No",'Recycling - Case 1'!T148="No"), "No", "Yes")</f>
        <v>No</v>
      </c>
      <c r="AD38" s="1101">
        <f t="shared" si="84"/>
        <v>12799.36662662356</v>
      </c>
      <c r="AE38" s="1102">
        <f t="shared" si="85"/>
        <v>1422.7903953324426</v>
      </c>
      <c r="AF38" s="1102">
        <f t="shared" si="86"/>
        <v>234.55354113759998</v>
      </c>
      <c r="AG38" s="1102">
        <f t="shared" si="87"/>
        <v>4560.3287251503234</v>
      </c>
      <c r="AH38" s="1142">
        <f t="shared" si="60"/>
        <v>19017.039288243926</v>
      </c>
      <c r="AI38" s="1423" t="str">
        <f>IF(OR('Recycling - Case 1'!AI19="No",'Recycling - Case 1'!Z148="No"), "No", "Yes")</f>
        <v>Yes</v>
      </c>
      <c r="AJ38" s="1101">
        <f t="shared" si="88"/>
        <v>12281.693105739001</v>
      </c>
      <c r="AK38" s="1102">
        <f t="shared" si="89"/>
        <v>1422.7903953324426</v>
      </c>
      <c r="AL38" s="1102">
        <f t="shared" si="90"/>
        <v>155.25457728774188</v>
      </c>
      <c r="AM38" s="1102">
        <f t="shared" si="91"/>
        <v>5172.2095138882814</v>
      </c>
      <c r="AN38" s="1142">
        <f t="shared" si="92"/>
        <v>19031.947592247467</v>
      </c>
      <c r="AO38" s="1416" t="str">
        <f>IF(OR('Recycling - Case 2'!AC108="No",'Recycling - Case 2'!T148="No"), "No", "Yes")</f>
        <v>No</v>
      </c>
      <c r="AP38" s="1101">
        <f t="shared" si="93"/>
        <v>12281.693105739001</v>
      </c>
      <c r="AQ38" s="1102">
        <f t="shared" si="94"/>
        <v>1422.7903953324426</v>
      </c>
      <c r="AR38" s="1102">
        <f t="shared" si="95"/>
        <v>155.25457728774188</v>
      </c>
      <c r="AS38" s="1102">
        <f t="shared" si="96"/>
        <v>5172.2095138882814</v>
      </c>
      <c r="AT38" s="1142">
        <f t="shared" si="37"/>
        <v>19031.947592247467</v>
      </c>
      <c r="AU38" s="1423" t="str">
        <f>IF(OR('Recycling - Case 2'!AC108="No",'Recycling - Case 2'!T188="No"), "No", "Yes")</f>
        <v>No</v>
      </c>
      <c r="AV38" s="1101">
        <f t="shared" si="63"/>
        <v>12282.074641731779</v>
      </c>
      <c r="AW38" s="1102">
        <f t="shared" si="64"/>
        <v>864.09067270605908</v>
      </c>
      <c r="AX38" s="1102">
        <f t="shared" si="65"/>
        <v>155.25457728774188</v>
      </c>
      <c r="AY38" s="1102">
        <f t="shared" si="66"/>
        <v>5172.2095138882814</v>
      </c>
      <c r="AZ38" s="1142">
        <f t="shared" si="67"/>
        <v>18473.629405613861</v>
      </c>
      <c r="BA38" s="1423" t="str">
        <f>IF(OR('Recycling - Case 3'!AC108="No",'Recycling - Case 3'!T148="No"), "No", "Yes")</f>
        <v>No</v>
      </c>
      <c r="BB38" s="1101">
        <f t="shared" si="97"/>
        <v>12282.074641731779</v>
      </c>
      <c r="BC38" s="1102">
        <f t="shared" si="98"/>
        <v>864.09067270605908</v>
      </c>
      <c r="BD38" s="1102">
        <f t="shared" si="99"/>
        <v>155.25457728774188</v>
      </c>
      <c r="BE38" s="1102">
        <f t="shared" si="100"/>
        <v>5172.2095138882814</v>
      </c>
      <c r="BF38" s="1142">
        <f t="shared" si="47"/>
        <v>18473.629405613861</v>
      </c>
      <c r="BG38" s="1423" t="str">
        <f>IF(OR('Recycling - Case 3'!AC108="No",'Recycling - Case 3'!T188="No"), "No", "Yes")</f>
        <v>No</v>
      </c>
      <c r="BH38" s="596">
        <f t="shared" si="48"/>
        <v>2028</v>
      </c>
      <c r="BI38" s="1102">
        <f>'Recycling - Case 1'!BV108</f>
        <v>96.69793252231031</v>
      </c>
      <c r="BJ38" s="417">
        <f>'Recycling - Case 1'!BW108</f>
        <v>0.51854306080356949</v>
      </c>
      <c r="BK38" s="1142">
        <f>'Recycling - Case 1'!BX108</f>
        <v>48.438037819118328</v>
      </c>
      <c r="BL38" s="1101">
        <f>'Recycling - Case 1'!BY108</f>
        <v>96.69793252231031</v>
      </c>
      <c r="BM38" s="417">
        <f>'Recycling - Case 1'!BZ108</f>
        <v>0.51854306080356949</v>
      </c>
      <c r="BN38" s="1142">
        <f>'Recycling - Case 1'!CA108</f>
        <v>48.438037819118328</v>
      </c>
      <c r="BO38" s="1102">
        <f>'Recycling - Case 2'!BV108</f>
        <v>94.618392890226815</v>
      </c>
      <c r="BP38" s="417">
        <f>'Recycling - Case 2'!BW108</f>
        <v>0.62849653314558029</v>
      </c>
      <c r="BQ38" s="1142">
        <f>'Recycling - Case 2'!BX108</f>
        <v>48.438037819118328</v>
      </c>
      <c r="BR38" s="1101">
        <f>'Recycling - Case 2'!BY108</f>
        <v>94.618392890226815</v>
      </c>
      <c r="BS38" s="417">
        <f>'Recycling - Case 2'!BZ108</f>
        <v>0.62849653314558029</v>
      </c>
      <c r="BT38" s="1142">
        <f>'Recycling - Case 2'!CA108</f>
        <v>48.438037819118328</v>
      </c>
      <c r="BU38" s="1102">
        <f>'Recycling - Case 3'!BV108</f>
        <v>94.618392890226815</v>
      </c>
      <c r="BV38" s="417">
        <f>'Recycling - Case 3'!BW108</f>
        <v>0.62849653314558029</v>
      </c>
      <c r="BW38" s="1142">
        <f>'Recycling - Case 3'!BX108</f>
        <v>48.438037819118328</v>
      </c>
      <c r="BX38" s="1101">
        <f>'Recycling - Case 3'!BY108</f>
        <v>94.618392890226815</v>
      </c>
      <c r="BY38" s="417">
        <f>'Recycling - Case 3'!BZ108</f>
        <v>0.62849653314558029</v>
      </c>
      <c r="BZ38" s="1142">
        <f>'Recycling - Case 3'!CA108</f>
        <v>48.438037819118328</v>
      </c>
      <c r="CA38" s="596">
        <v>2028</v>
      </c>
      <c r="CB38" s="649">
        <f>'Recycling - Case 1'!CB108</f>
        <v>0.18787758011779954</v>
      </c>
      <c r="CC38" s="417">
        <f>'Recycling - Case 1'!CC108</f>
        <v>0.30856267073802934</v>
      </c>
      <c r="CD38" s="417">
        <f>'Recycling - Case 1'!CD108</f>
        <v>0.18787758011779954</v>
      </c>
      <c r="CE38" s="525">
        <f>'Recycling - Case 1'!CE108</f>
        <v>0.30856267073802934</v>
      </c>
      <c r="CF38" s="649">
        <f>'Recycling - Case 2'!CB108</f>
        <v>0.26366335378378059</v>
      </c>
      <c r="CG38" s="417">
        <f>'Recycling - Case 2'!CC108</f>
        <v>0.30856267073802934</v>
      </c>
      <c r="CH38" s="417">
        <f>'Recycling - Case 2'!CD108</f>
        <v>0.26366335378378059</v>
      </c>
      <c r="CI38" s="525">
        <f>'Recycling - Case 2'!CE108</f>
        <v>0.30856267073802934</v>
      </c>
      <c r="CJ38" s="649">
        <f>'Recycling - Case 3'!CB108</f>
        <v>0.26366335378378059</v>
      </c>
      <c r="CK38" s="417">
        <f>'Recycling - Case 3'!CC108</f>
        <v>0.30856267073802934</v>
      </c>
      <c r="CL38" s="417">
        <f>'Recycling - Case 3'!CD108</f>
        <v>0.26366335378378059</v>
      </c>
      <c r="CM38" s="525">
        <f>'Recycling - Case 3'!CE108</f>
        <v>0.30856267073802934</v>
      </c>
    </row>
    <row r="39" spans="1:91">
      <c r="A39" s="4">
        <f>'Input data'!A128</f>
        <v>2028</v>
      </c>
      <c r="B39" s="4"/>
      <c r="C39" s="769">
        <f>'4A SWD Case 1'!BG98</f>
        <v>609.49364888683613</v>
      </c>
      <c r="D39" s="3">
        <f>'4B Biological treatment '!T92</f>
        <v>0.78912390201466587</v>
      </c>
      <c r="E39" s="1157">
        <f>'4B Biological treatment '!U92</f>
        <v>35.510575590659961</v>
      </c>
      <c r="F39" s="1157">
        <f>'4B Biological treatment '!W92</f>
        <v>2.1306345354395977</v>
      </c>
      <c r="G39" s="952">
        <f>'4C2 Open-burning '!R99</f>
        <v>24.643242655537975</v>
      </c>
      <c r="H39" s="952">
        <f>'4C2 Open-burning '!Z99</f>
        <v>8.2916966915329837</v>
      </c>
      <c r="I39" s="952">
        <f>'4C2 Open-burning '!AH99</f>
        <v>0.115434412773772</v>
      </c>
      <c r="J39" s="987">
        <f>'4D Wastewater treatment and dis'!AV136</f>
        <v>169.01903173407416</v>
      </c>
      <c r="K39" s="770">
        <f>'4D Wastewater treatment and dis'!AW136</f>
        <v>3.2610614797895683</v>
      </c>
      <c r="L39" s="771">
        <f t="shared" si="69"/>
        <v>12799.36662662356</v>
      </c>
      <c r="M39" s="772">
        <f t="shared" si="70"/>
        <v>16.571601942307982</v>
      </c>
      <c r="N39" s="771">
        <f t="shared" si="71"/>
        <v>1406.2187933901346</v>
      </c>
      <c r="O39" s="773">
        <f t="shared" si="72"/>
        <v>234.55354113759998</v>
      </c>
      <c r="P39" s="771">
        <f t="shared" si="73"/>
        <v>4560.3287251503234</v>
      </c>
      <c r="Q39" s="519">
        <f t="shared" si="74"/>
        <v>12799.36662662356</v>
      </c>
      <c r="R39" s="521">
        <f t="shared" si="75"/>
        <v>1422.7903953324426</v>
      </c>
      <c r="S39" s="518">
        <f t="shared" si="76"/>
        <v>234.55354113759998</v>
      </c>
      <c r="T39" s="519">
        <f t="shared" si="77"/>
        <v>4560.3287251503234</v>
      </c>
      <c r="U39" s="519">
        <f t="shared" si="78"/>
        <v>19017.039288243926</v>
      </c>
      <c r="V39" s="3"/>
      <c r="W39" s="596">
        <f t="shared" si="79"/>
        <v>2029</v>
      </c>
      <c r="X39" s="1101">
        <f t="shared" si="80"/>
        <v>12369.615228020652</v>
      </c>
      <c r="Y39" s="1102">
        <f t="shared" si="81"/>
        <v>1431.3694690251662</v>
      </c>
      <c r="Z39" s="1102">
        <f t="shared" si="82"/>
        <v>221.70018656133303</v>
      </c>
      <c r="AA39" s="1102">
        <f t="shared" si="83"/>
        <v>4641.7443708292039</v>
      </c>
      <c r="AB39" s="1142">
        <f t="shared" si="22"/>
        <v>18664.429254436356</v>
      </c>
      <c r="AC39" s="1423" t="str">
        <f>IF(OR('Recycling - Case 1'!AC109="No",'Recycling - Case 1'!T149="No"), "No", "Yes")</f>
        <v>No</v>
      </c>
      <c r="AD39" s="1101">
        <f t="shared" si="84"/>
        <v>12369.615228020652</v>
      </c>
      <c r="AE39" s="1102">
        <f t="shared" si="85"/>
        <v>1431.3694690251662</v>
      </c>
      <c r="AF39" s="1102">
        <f t="shared" si="86"/>
        <v>221.70018656133303</v>
      </c>
      <c r="AG39" s="1102">
        <f t="shared" si="87"/>
        <v>4641.7443708292039</v>
      </c>
      <c r="AH39" s="1142">
        <f t="shared" si="60"/>
        <v>18664.429254436356</v>
      </c>
      <c r="AI39" s="1423" t="str">
        <f>IF(OR('Recycling - Case 1'!AI20="No",'Recycling - Case 1'!Z149="No"), "No", "Yes")</f>
        <v>Yes</v>
      </c>
      <c r="AJ39" s="1101">
        <f t="shared" si="88"/>
        <v>11819.464466547775</v>
      </c>
      <c r="AK39" s="1102">
        <f t="shared" si="89"/>
        <v>1431.3694690251662</v>
      </c>
      <c r="AL39" s="1102">
        <f t="shared" si="90"/>
        <v>142.1481547216269</v>
      </c>
      <c r="AM39" s="1102">
        <f t="shared" si="91"/>
        <v>5315.8232520302154</v>
      </c>
      <c r="AN39" s="1142">
        <f t="shared" si="92"/>
        <v>18708.805342324784</v>
      </c>
      <c r="AO39" s="1416" t="str">
        <f>IF(OR('Recycling - Case 2'!AC109="No",'Recycling - Case 2'!T149="No"), "No", "Yes")</f>
        <v>No</v>
      </c>
      <c r="AP39" s="1101">
        <f t="shared" si="93"/>
        <v>11819.464466547775</v>
      </c>
      <c r="AQ39" s="1102">
        <f t="shared" si="94"/>
        <v>1431.3694690251662</v>
      </c>
      <c r="AR39" s="1102">
        <f t="shared" si="95"/>
        <v>142.1481547216269</v>
      </c>
      <c r="AS39" s="1102">
        <f t="shared" si="96"/>
        <v>5315.8232520302154</v>
      </c>
      <c r="AT39" s="1142">
        <f t="shared" si="37"/>
        <v>18708.805342324784</v>
      </c>
      <c r="AU39" s="1423" t="str">
        <f>IF(OR('Recycling - Case 2'!AC109="No",'Recycling - Case 2'!T189="No"), "No", "Yes")</f>
        <v>No</v>
      </c>
      <c r="AV39" s="1101">
        <f t="shared" si="63"/>
        <v>11819.91767027495</v>
      </c>
      <c r="AW39" s="1102">
        <f t="shared" si="64"/>
        <v>869.30092544789613</v>
      </c>
      <c r="AX39" s="1102">
        <f t="shared" si="65"/>
        <v>142.1481547216269</v>
      </c>
      <c r="AY39" s="1102">
        <f t="shared" si="66"/>
        <v>5315.8232520302154</v>
      </c>
      <c r="AZ39" s="1142">
        <f t="shared" si="67"/>
        <v>18147.190002474686</v>
      </c>
      <c r="BA39" s="1423" t="str">
        <f>IF(OR('Recycling - Case 3'!AC109="No",'Recycling - Case 3'!T149="No"), "No", "Yes")</f>
        <v>No</v>
      </c>
      <c r="BB39" s="1101">
        <f t="shared" si="97"/>
        <v>11819.91767027495</v>
      </c>
      <c r="BC39" s="1102">
        <f t="shared" si="98"/>
        <v>869.30092544789613</v>
      </c>
      <c r="BD39" s="1102">
        <f t="shared" si="99"/>
        <v>142.1481547216269</v>
      </c>
      <c r="BE39" s="1102">
        <f t="shared" si="100"/>
        <v>5315.8232520302154</v>
      </c>
      <c r="BF39" s="1142">
        <f t="shared" si="47"/>
        <v>18147.190002474686</v>
      </c>
      <c r="BG39" s="1423" t="str">
        <f>IF(OR('Recycling - Case 3'!AC109="No",'Recycling - Case 3'!T189="No"), "No", "Yes")</f>
        <v>No</v>
      </c>
      <c r="BH39" s="596">
        <f t="shared" si="48"/>
        <v>2029</v>
      </c>
      <c r="BI39" s="1102">
        <f>'Recycling - Case 1'!BV109</f>
        <v>95.628812854832148</v>
      </c>
      <c r="BJ39" s="417">
        <f>'Recycling - Case 1'!BW109</f>
        <v>0.53536333799878499</v>
      </c>
      <c r="BK39" s="1142">
        <f>'Recycling - Case 1'!BX109</f>
        <v>47.172284942566741</v>
      </c>
      <c r="BL39" s="1101">
        <f>'Recycling - Case 1'!BY109</f>
        <v>95.628812854832148</v>
      </c>
      <c r="BM39" s="417">
        <f>'Recycling - Case 1'!BZ109</f>
        <v>0.53536333799878499</v>
      </c>
      <c r="BN39" s="1142">
        <f>'Recycling - Case 1'!CA109</f>
        <v>47.172284942566741</v>
      </c>
      <c r="BO39" s="1102">
        <f>'Recycling - Case 2'!BV109</f>
        <v>93.663848789751768</v>
      </c>
      <c r="BP39" s="417">
        <f>'Recycling - Case 2'!BW109</f>
        <v>0.6502037763794668</v>
      </c>
      <c r="BQ39" s="1142">
        <f>'Recycling - Case 2'!BX109</f>
        <v>47.172284942566741</v>
      </c>
      <c r="BR39" s="1101">
        <f>'Recycling - Case 2'!BY109</f>
        <v>93.663848789751768</v>
      </c>
      <c r="BS39" s="417">
        <f>'Recycling - Case 2'!BZ109</f>
        <v>0.6502037763794668</v>
      </c>
      <c r="BT39" s="1142">
        <f>'Recycling - Case 2'!CA109</f>
        <v>47.172284942566741</v>
      </c>
      <c r="BU39" s="1102">
        <f>'Recycling - Case 3'!BV109</f>
        <v>93.663848789751768</v>
      </c>
      <c r="BV39" s="417">
        <f>'Recycling - Case 3'!BW109</f>
        <v>0.6502037763794668</v>
      </c>
      <c r="BW39" s="1142">
        <f>'Recycling - Case 3'!BX109</f>
        <v>47.172284942566741</v>
      </c>
      <c r="BX39" s="1101">
        <f>'Recycling - Case 3'!BY109</f>
        <v>93.663848789751768</v>
      </c>
      <c r="BY39" s="417">
        <f>'Recycling - Case 3'!BZ109</f>
        <v>0.6502037763794668</v>
      </c>
      <c r="BZ39" s="1142">
        <f>'Recycling - Case 3'!CA109</f>
        <v>47.172284942566741</v>
      </c>
      <c r="CA39" s="596">
        <v>2029</v>
      </c>
      <c r="CB39" s="649">
        <f>'Recycling - Case 1'!CB109</f>
        <v>0.20894363003364869</v>
      </c>
      <c r="CC39" s="417">
        <f>'Recycling - Case 1'!CC109</f>
        <v>0.31543238100002513</v>
      </c>
      <c r="CD39" s="417">
        <f>'Recycling - Case 1'!CD109</f>
        <v>0.20894363003364869</v>
      </c>
      <c r="CE39" s="525">
        <f>'Recycling - Case 1'!CE109</f>
        <v>0.31543238100002513</v>
      </c>
      <c r="CF39" s="649">
        <f>'Recycling - Case 2'!CB109</f>
        <v>0.27985563375052358</v>
      </c>
      <c r="CG39" s="417">
        <f>'Recycling - Case 2'!CC109</f>
        <v>0.31543238100002513</v>
      </c>
      <c r="CH39" s="417">
        <f>'Recycling - Case 2'!CD109</f>
        <v>0.27985563375052358</v>
      </c>
      <c r="CI39" s="525">
        <f>'Recycling - Case 2'!CE109</f>
        <v>0.31543238100002513</v>
      </c>
      <c r="CJ39" s="649">
        <f>'Recycling - Case 3'!CB109</f>
        <v>0.27985563375052358</v>
      </c>
      <c r="CK39" s="417">
        <f>'Recycling - Case 3'!CC109</f>
        <v>0.31543238100002513</v>
      </c>
      <c r="CL39" s="417">
        <f>'Recycling - Case 3'!CD109</f>
        <v>0.27985563375052358</v>
      </c>
      <c r="CM39" s="525">
        <f>'Recycling - Case 3'!CE109</f>
        <v>0.31543238100002513</v>
      </c>
    </row>
    <row r="40" spans="1:91">
      <c r="A40" s="4">
        <f>'Input data'!A129</f>
        <v>2029</v>
      </c>
      <c r="B40" s="4"/>
      <c r="C40" s="769">
        <f>'4A SWD Case 1'!BG99</f>
        <v>589.02929657241202</v>
      </c>
      <c r="D40" s="3">
        <f>'4B Biological treatment '!T93</f>
        <v>0.79388212369670896</v>
      </c>
      <c r="E40" s="1157">
        <f>'4B Biological treatment '!U93</f>
        <v>35.724695566351897</v>
      </c>
      <c r="F40" s="1157">
        <f>'4B Biological treatment '!W93</f>
        <v>2.1434817339811141</v>
      </c>
      <c r="G40" s="952">
        <f>'4C2 Open-burning '!R100</f>
        <v>23.292811814782528</v>
      </c>
      <c r="H40" s="952">
        <f>'4C2 Open-burning '!Z100</f>
        <v>7.837318057562114</v>
      </c>
      <c r="I40" s="952">
        <f>'4C2 Open-burning '!AH100</f>
        <v>0.10910869528305192</v>
      </c>
      <c r="J40" s="987">
        <f>'4D Wastewater treatment and dis'!AV137</f>
        <v>172.42196436643172</v>
      </c>
      <c r="K40" s="770">
        <f>'4D Wastewater treatment and dis'!AW137</f>
        <v>3.2931713520456056</v>
      </c>
      <c r="L40" s="771">
        <f t="shared" si="69"/>
        <v>12369.615228020652</v>
      </c>
      <c r="M40" s="772">
        <f t="shared" si="70"/>
        <v>16.671524597630889</v>
      </c>
      <c r="N40" s="771">
        <f t="shared" si="71"/>
        <v>1414.6979444275353</v>
      </c>
      <c r="O40" s="773">
        <f t="shared" si="72"/>
        <v>221.70018656133303</v>
      </c>
      <c r="P40" s="771">
        <f t="shared" si="73"/>
        <v>4641.7443708292039</v>
      </c>
      <c r="Q40" s="519">
        <f t="shared" si="74"/>
        <v>12369.615228020652</v>
      </c>
      <c r="R40" s="521">
        <f t="shared" si="75"/>
        <v>1431.3694690251662</v>
      </c>
      <c r="S40" s="518">
        <f t="shared" si="76"/>
        <v>221.70018656133303</v>
      </c>
      <c r="T40" s="519">
        <f t="shared" si="77"/>
        <v>4641.7443708292039</v>
      </c>
      <c r="U40" s="519">
        <f t="shared" si="78"/>
        <v>18664.429254436356</v>
      </c>
      <c r="V40" s="3"/>
      <c r="W40" s="596">
        <f t="shared" si="79"/>
        <v>2030</v>
      </c>
      <c r="X40" s="1101">
        <f t="shared" si="80"/>
        <v>11954.024883827069</v>
      </c>
      <c r="Y40" s="1102">
        <f t="shared" si="81"/>
        <v>1438.9206609531357</v>
      </c>
      <c r="Z40" s="1102">
        <f t="shared" si="82"/>
        <v>209.55929653855324</v>
      </c>
      <c r="AA40" s="1102">
        <f t="shared" si="83"/>
        <v>4724.3211909055435</v>
      </c>
      <c r="AB40" s="1142">
        <f t="shared" si="22"/>
        <v>18326.8260322243</v>
      </c>
      <c r="AC40" s="1423" t="str">
        <f>IF(OR('Recycling - Case 1'!AC110="No",'Recycling - Case 1'!T150="No"), "No", "Yes")</f>
        <v>No</v>
      </c>
      <c r="AD40" s="1101">
        <f t="shared" si="84"/>
        <v>11954.024883827069</v>
      </c>
      <c r="AE40" s="1102">
        <f t="shared" si="85"/>
        <v>1438.9206609531357</v>
      </c>
      <c r="AF40" s="1102">
        <f t="shared" si="86"/>
        <v>209.55929653855324</v>
      </c>
      <c r="AG40" s="1102">
        <f t="shared" si="87"/>
        <v>4724.3211909055435</v>
      </c>
      <c r="AH40" s="1142">
        <f t="shared" si="60"/>
        <v>18326.8260322243</v>
      </c>
      <c r="AI40" s="1423" t="str">
        <f>IF(OR('Recycling - Case 1'!AI21="No",'Recycling - Case 1'!Z150="No"), "No", "Yes")</f>
        <v>Yes</v>
      </c>
      <c r="AJ40" s="1101">
        <f t="shared" si="88"/>
        <v>11371.624345049284</v>
      </c>
      <c r="AK40" s="1102">
        <f t="shared" si="89"/>
        <v>1438.9206609531357</v>
      </c>
      <c r="AL40" s="1102">
        <f t="shared" si="90"/>
        <v>128.77351562592733</v>
      </c>
      <c r="AM40" s="1102">
        <f t="shared" si="91"/>
        <v>5461.7637017393099</v>
      </c>
      <c r="AN40" s="1142">
        <f t="shared" si="92"/>
        <v>18401.082223367659</v>
      </c>
      <c r="AO40" s="1416" t="str">
        <f>IF(OR('Recycling - Case 2'!AC110="No",'Recycling - Case 2'!T150="No"), "No", "Yes")</f>
        <v>No</v>
      </c>
      <c r="AP40" s="1101">
        <f t="shared" si="93"/>
        <v>11371.624345049284</v>
      </c>
      <c r="AQ40" s="1102">
        <f t="shared" si="94"/>
        <v>1438.9206609531357</v>
      </c>
      <c r="AR40" s="1102">
        <f t="shared" si="95"/>
        <v>128.77351562592733</v>
      </c>
      <c r="AS40" s="1102">
        <f t="shared" si="96"/>
        <v>5461.7637017393099</v>
      </c>
      <c r="AT40" s="1142">
        <f t="shared" si="37"/>
        <v>18401.082223367659</v>
      </c>
      <c r="AU40" s="1423" t="str">
        <f>IF(OR('Recycling - Case 2'!AC110="No",'Recycling - Case 2'!T190="No"), "No", "Yes")</f>
        <v>No</v>
      </c>
      <c r="AV40" s="1101">
        <f t="shared" si="63"/>
        <v>11372.15458654895</v>
      </c>
      <c r="AW40" s="1102">
        <f t="shared" si="64"/>
        <v>873.88692387336869</v>
      </c>
      <c r="AX40" s="1102">
        <f t="shared" si="65"/>
        <v>128.77351562592733</v>
      </c>
      <c r="AY40" s="1102">
        <f t="shared" si="66"/>
        <v>5461.7637017393099</v>
      </c>
      <c r="AZ40" s="1142">
        <f t="shared" si="67"/>
        <v>17836.578727787557</v>
      </c>
      <c r="BA40" s="1423" t="str">
        <f>IF(OR('Recycling - Case 3'!AC110="No",'Recycling - Case 3'!T150="No"), "No", "Yes")</f>
        <v>No</v>
      </c>
      <c r="BB40" s="1101">
        <f t="shared" si="97"/>
        <v>11372.15458654895</v>
      </c>
      <c r="BC40" s="1102">
        <f t="shared" si="98"/>
        <v>873.88692387336869</v>
      </c>
      <c r="BD40" s="1102">
        <f t="shared" si="99"/>
        <v>128.77351562592733</v>
      </c>
      <c r="BE40" s="1102">
        <f t="shared" si="100"/>
        <v>5461.7637017393099</v>
      </c>
      <c r="BF40" s="1142">
        <f t="shared" si="47"/>
        <v>17836.578727787557</v>
      </c>
      <c r="BG40" s="1423" t="str">
        <f>IF(OR('Recycling - Case 3'!AC110="No",'Recycling - Case 3'!T190="No"), "No", "Yes")</f>
        <v>No</v>
      </c>
      <c r="BH40" s="596">
        <f t="shared" si="48"/>
        <v>2030</v>
      </c>
      <c r="BI40" s="1102">
        <f>'Recycling - Case 1'!BV110</f>
        <v>94.734350762496746</v>
      </c>
      <c r="BJ40" s="417">
        <f>'Recycling - Case 1'!BW110</f>
        <v>0.55167672007344637</v>
      </c>
      <c r="BK40" s="1142">
        <f>'Recycling - Case 1'!BX110</f>
        <v>46.12449889321843</v>
      </c>
      <c r="BL40" s="1101">
        <f>'Recycling - Case 1'!BY110</f>
        <v>94.734350762496746</v>
      </c>
      <c r="BM40" s="417">
        <f>'Recycling - Case 1'!BZ110</f>
        <v>0.55167672007344637</v>
      </c>
      <c r="BN40" s="1142">
        <f>'Recycling - Case 1'!CA110</f>
        <v>46.12449889321843</v>
      </c>
      <c r="BO40" s="1102">
        <f>'Recycling - Case 2'!BV110</f>
        <v>92.860784104534616</v>
      </c>
      <c r="BP40" s="417">
        <f>'Recycling - Case 2'!BW110</f>
        <v>0.67077439829901286</v>
      </c>
      <c r="BQ40" s="1142">
        <f>'Recycling - Case 2'!BX110</f>
        <v>46.12449889321843</v>
      </c>
      <c r="BR40" s="1101">
        <f>'Recycling - Case 2'!BY110</f>
        <v>92.860784104534616</v>
      </c>
      <c r="BS40" s="417">
        <f>'Recycling - Case 2'!BZ110</f>
        <v>0.67077439829901286</v>
      </c>
      <c r="BT40" s="1142">
        <f>'Recycling - Case 2'!CA110</f>
        <v>46.12449889321843</v>
      </c>
      <c r="BU40" s="1102">
        <f>'Recycling - Case 3'!BV110</f>
        <v>92.860784104534616</v>
      </c>
      <c r="BV40" s="417">
        <f>'Recycling - Case 3'!BW110</f>
        <v>0.67077439829901286</v>
      </c>
      <c r="BW40" s="1142">
        <f>'Recycling - Case 3'!BX110</f>
        <v>46.12449889321843</v>
      </c>
      <c r="BX40" s="1101">
        <f>'Recycling - Case 3'!BY110</f>
        <v>92.860784104534616</v>
      </c>
      <c r="BY40" s="417">
        <f>'Recycling - Case 3'!BZ110</f>
        <v>0.67077439829901286</v>
      </c>
      <c r="BZ40" s="1142">
        <f>'Recycling - Case 3'!CA110</f>
        <v>46.12449889321843</v>
      </c>
      <c r="CA40" s="596">
        <v>2030</v>
      </c>
      <c r="CB40" s="649">
        <f>'Recycling - Case 1'!CB110</f>
        <v>0.22882200098597416</v>
      </c>
      <c r="CC40" s="417">
        <f>'Recycling - Case 1'!CC110</f>
        <v>0.3212759023902616</v>
      </c>
      <c r="CD40" s="417">
        <f>'Recycling - Case 1'!CD110</f>
        <v>0.22882200098597416</v>
      </c>
      <c r="CE40" s="525">
        <f>'Recycling - Case 1'!CE110</f>
        <v>0.3212759023902616</v>
      </c>
      <c r="CF40" s="649">
        <f>'Recycling - Case 2'!CB110</f>
        <v>0.29577637461695849</v>
      </c>
      <c r="CG40" s="417">
        <f>'Recycling - Case 2'!CC110</f>
        <v>0.32127590239026171</v>
      </c>
      <c r="CH40" s="417">
        <f>'Recycling - Case 2'!CD110</f>
        <v>0.29577637461695849</v>
      </c>
      <c r="CI40" s="525">
        <f>'Recycling - Case 2'!CE110</f>
        <v>0.32127590239026171</v>
      </c>
      <c r="CJ40" s="649">
        <f>'Recycling - Case 3'!CB110</f>
        <v>0.29577637461695849</v>
      </c>
      <c r="CK40" s="417">
        <f>'Recycling - Case 3'!CC110</f>
        <v>0.32127590239026171</v>
      </c>
      <c r="CL40" s="417">
        <f>'Recycling - Case 3'!CD110</f>
        <v>0.29577637461695849</v>
      </c>
      <c r="CM40" s="525">
        <f>'Recycling - Case 3'!CE110</f>
        <v>0.32127590239026171</v>
      </c>
    </row>
    <row r="41" spans="1:91">
      <c r="A41" s="4">
        <f>'Input data'!A130</f>
        <v>2030</v>
      </c>
      <c r="B41" s="4"/>
      <c r="C41" s="769">
        <f>'4A SWD Case 1'!BG100</f>
        <v>569.23928018224137</v>
      </c>
      <c r="D41" s="3">
        <f>'4B Biological treatment '!T94</f>
        <v>0.79807025011266552</v>
      </c>
      <c r="E41" s="1157">
        <f>'4B Biological treatment '!U94</f>
        <v>35.913161255069944</v>
      </c>
      <c r="F41" s="1157">
        <f>'4B Biological treatment '!W94</f>
        <v>2.1547896753041966</v>
      </c>
      <c r="G41" s="952">
        <f>'4C2 Open-burning '!R101</f>
        <v>22.017235682209698</v>
      </c>
      <c r="H41" s="952">
        <f>'4C2 Open-burning '!Z101</f>
        <v>7.4081257411899131</v>
      </c>
      <c r="I41" s="952">
        <f>'4C2 Open-burning '!AH101</f>
        <v>0.10313361384308185</v>
      </c>
      <c r="J41" s="987">
        <f>'4D Wastewater treatment and dis'!AV138</f>
        <v>175.87552377304826</v>
      </c>
      <c r="K41" s="770">
        <f>'4D Wastewater treatment and dis'!AW138</f>
        <v>3.3255973924888065</v>
      </c>
      <c r="L41" s="771">
        <f t="shared" si="69"/>
        <v>11954.024883827069</v>
      </c>
      <c r="M41" s="772">
        <f t="shared" si="70"/>
        <v>16.759475252365977</v>
      </c>
      <c r="N41" s="771">
        <f t="shared" si="71"/>
        <v>1422.1611857007697</v>
      </c>
      <c r="O41" s="773">
        <f t="shared" si="72"/>
        <v>209.55929653855324</v>
      </c>
      <c r="P41" s="771">
        <f t="shared" si="73"/>
        <v>4724.3211909055435</v>
      </c>
      <c r="Q41" s="519">
        <f t="shared" si="74"/>
        <v>11954.024883827069</v>
      </c>
      <c r="R41" s="521">
        <f t="shared" si="75"/>
        <v>1438.9206609531357</v>
      </c>
      <c r="S41" s="518">
        <f t="shared" si="76"/>
        <v>209.55929653855324</v>
      </c>
      <c r="T41" s="519">
        <f t="shared" si="77"/>
        <v>4724.3211909055435</v>
      </c>
      <c r="U41" s="519">
        <f t="shared" si="78"/>
        <v>18326.8260322243</v>
      </c>
      <c r="V41" s="3"/>
      <c r="W41" s="596">
        <f t="shared" si="79"/>
        <v>2031</v>
      </c>
      <c r="X41" s="1101">
        <f t="shared" si="80"/>
        <v>11552.142485347564</v>
      </c>
      <c r="Y41" s="1102">
        <f t="shared" si="81"/>
        <v>1434.0118329202196</v>
      </c>
      <c r="Z41" s="1102">
        <f t="shared" si="82"/>
        <v>199.12484182484837</v>
      </c>
      <c r="AA41" s="1102">
        <f t="shared" si="83"/>
        <v>4801.8266337074856</v>
      </c>
      <c r="AB41" s="1142">
        <f t="shared" si="22"/>
        <v>17987.105793800118</v>
      </c>
      <c r="AC41" s="1423" t="str">
        <f>IF(OR('Recycling - Case 1'!AC111="No",'Recycling - Case 1'!T151="No"), "No", "Yes")</f>
        <v>No</v>
      </c>
      <c r="AD41" s="1101">
        <f t="shared" si="84"/>
        <v>11552.142485347564</v>
      </c>
      <c r="AE41" s="1102">
        <f t="shared" si="85"/>
        <v>1434.0118329202196</v>
      </c>
      <c r="AF41" s="1102">
        <f t="shared" si="86"/>
        <v>199.12484182484837</v>
      </c>
      <c r="AG41" s="1102">
        <f t="shared" si="87"/>
        <v>4801.8266337074856</v>
      </c>
      <c r="AH41" s="1142">
        <f t="shared" si="60"/>
        <v>17987.105793800118</v>
      </c>
      <c r="AI41" s="1423" t="str">
        <f>IF(OR('Recycling - Case 1'!AI22="No",'Recycling - Case 1'!Z151="No"), "No", "Yes")</f>
        <v>Yes</v>
      </c>
      <c r="AJ41" s="1101">
        <f t="shared" si="88"/>
        <v>10936.866436815888</v>
      </c>
      <c r="AK41" s="1102">
        <f t="shared" si="89"/>
        <v>1434.0118329202196</v>
      </c>
      <c r="AL41" s="1102">
        <f t="shared" si="90"/>
        <v>113.56951234567336</v>
      </c>
      <c r="AM41" s="1102">
        <f t="shared" si="91"/>
        <v>5508.3758769951792</v>
      </c>
      <c r="AN41" s="1142">
        <f t="shared" si="92"/>
        <v>17992.823659076959</v>
      </c>
      <c r="AO41" s="1416" t="str">
        <f>IF(OR('Recycling - Case 2'!AC111="No",'Recycling - Case 2'!T151="No"), "No", "Yes")</f>
        <v>No</v>
      </c>
      <c r="AP41" s="1101">
        <f t="shared" si="93"/>
        <v>10936.866436815888</v>
      </c>
      <c r="AQ41" s="1102">
        <f t="shared" si="94"/>
        <v>1434.0118329202196</v>
      </c>
      <c r="AR41" s="1102">
        <f t="shared" si="95"/>
        <v>113.56951234567336</v>
      </c>
      <c r="AS41" s="1102">
        <f t="shared" si="96"/>
        <v>5508.3758769951792</v>
      </c>
      <c r="AT41" s="1142">
        <f t="shared" si="37"/>
        <v>17992.823659076959</v>
      </c>
      <c r="AU41" s="1423" t="str">
        <f>IF(OR('Recycling - Case 2'!AC111="No",'Recycling - Case 2'!T191="No"), "No", "Yes")</f>
        <v>No</v>
      </c>
      <c r="AV41" s="1101">
        <f t="shared" si="63"/>
        <v>10937.47895223886</v>
      </c>
      <c r="AW41" s="1102">
        <f t="shared" si="64"/>
        <v>870.90568887833649</v>
      </c>
      <c r="AX41" s="1102">
        <f t="shared" si="65"/>
        <v>113.56951234567336</v>
      </c>
      <c r="AY41" s="1102">
        <f t="shared" si="66"/>
        <v>5508.3758769951792</v>
      </c>
      <c r="AZ41" s="1142">
        <f t="shared" si="67"/>
        <v>17430.330030458048</v>
      </c>
      <c r="BA41" s="1423" t="str">
        <f>IF(OR('Recycling - Case 3'!AC111="No",'Recycling - Case 3'!T151="No"), "No", "Yes")</f>
        <v>No</v>
      </c>
      <c r="BB41" s="1101">
        <f t="shared" si="97"/>
        <v>10937.47895223886</v>
      </c>
      <c r="BC41" s="1102">
        <f t="shared" si="98"/>
        <v>870.90568887833649</v>
      </c>
      <c r="BD41" s="1102">
        <f t="shared" si="99"/>
        <v>113.56951234567336</v>
      </c>
      <c r="BE41" s="1102">
        <f t="shared" si="100"/>
        <v>5508.3758769951792</v>
      </c>
      <c r="BF41" s="1142">
        <f t="shared" si="47"/>
        <v>17430.330030458048</v>
      </c>
      <c r="BG41" s="1423" t="str">
        <f>IF(OR('Recycling - Case 3'!AC111="No",'Recycling - Case 3'!T191="No"), "No", "Yes")</f>
        <v>No</v>
      </c>
      <c r="BH41" s="596">
        <f t="shared" si="48"/>
        <v>2031</v>
      </c>
      <c r="BI41" s="1102">
        <f>'Recycling - Case 1'!BV111</f>
        <v>91.993028133330384</v>
      </c>
      <c r="BJ41" s="417">
        <f>'Recycling - Case 1'!BW111</f>
        <v>0.55968550492284308</v>
      </c>
      <c r="BK41" s="1142">
        <f>'Recycling - Case 1'!BX111</f>
        <v>43.997076132191786</v>
      </c>
      <c r="BL41" s="1101">
        <f>'Recycling - Case 1'!BY111</f>
        <v>91.993028133330384</v>
      </c>
      <c r="BM41" s="417">
        <f>'Recycling - Case 1'!BZ111</f>
        <v>0.55968550492284308</v>
      </c>
      <c r="BN41" s="1142">
        <f>'Recycling - Case 1'!CA111</f>
        <v>43.997076132191786</v>
      </c>
      <c r="BO41" s="1102">
        <f>'Recycling - Case 2'!BV111</f>
        <v>90.018805930502452</v>
      </c>
      <c r="BP41" s="417">
        <f>'Recycling - Case 2'!BW111</f>
        <v>0.67827419369986763</v>
      </c>
      <c r="BQ41" s="1142">
        <f>'Recycling - Case 2'!BX111</f>
        <v>43.997076132191786</v>
      </c>
      <c r="BR41" s="1101">
        <f>'Recycling - Case 2'!BY111</f>
        <v>90.018805930502452</v>
      </c>
      <c r="BS41" s="417">
        <f>'Recycling - Case 2'!BZ111</f>
        <v>0.67827419369986763</v>
      </c>
      <c r="BT41" s="1142">
        <f>'Recycling - Case 2'!CA111</f>
        <v>43.997076132191786</v>
      </c>
      <c r="BU41" s="1102">
        <f>'Recycling - Case 3'!BV111</f>
        <v>90.018805930502452</v>
      </c>
      <c r="BV41" s="417">
        <f>'Recycling - Case 3'!BW111</f>
        <v>0.67827419369986763</v>
      </c>
      <c r="BW41" s="1142">
        <f>'Recycling - Case 3'!BX111</f>
        <v>43.997076132191786</v>
      </c>
      <c r="BX41" s="1101">
        <f>'Recycling - Case 3'!BY111</f>
        <v>90.018805930502452</v>
      </c>
      <c r="BY41" s="417">
        <f>'Recycling - Case 3'!BZ111</f>
        <v>0.67827419369986763</v>
      </c>
      <c r="BZ41" s="1142">
        <f>'Recycling - Case 3'!CA111</f>
        <v>43.997076132191786</v>
      </c>
      <c r="CA41" s="596">
        <v>2031</v>
      </c>
      <c r="CB41" s="649">
        <f>'Recycling - Case 1'!CB111</f>
        <v>0.24572749882361522</v>
      </c>
      <c r="CC41" s="417">
        <f>'Recycling - Case 1'!CC111</f>
        <v>0.32597845323728281</v>
      </c>
      <c r="CD41" s="417">
        <f>'Recycling - Case 1'!CD111</f>
        <v>0.24572749882361522</v>
      </c>
      <c r="CE41" s="525">
        <f>'Recycling - Case 1'!CE111</f>
        <v>0.32597845323728281</v>
      </c>
      <c r="CF41" s="649">
        <f>'Recycling - Case 2'!CB111</f>
        <v>0.31568192095747505</v>
      </c>
      <c r="CG41" s="417">
        <f>'Recycling - Case 2'!CC111</f>
        <v>0.32597845323728303</v>
      </c>
      <c r="CH41" s="417">
        <f>'Recycling - Case 2'!CD111</f>
        <v>0.31568192095747505</v>
      </c>
      <c r="CI41" s="525">
        <f>'Recycling - Case 2'!CE111</f>
        <v>0.32597845323728303</v>
      </c>
      <c r="CJ41" s="649">
        <f>'Recycling - Case 3'!CB111</f>
        <v>0.31568192095747505</v>
      </c>
      <c r="CK41" s="417">
        <f>'Recycling - Case 3'!CC111</f>
        <v>0.32597845323728303</v>
      </c>
      <c r="CL41" s="417">
        <f>'Recycling - Case 3'!CD111</f>
        <v>0.31568192095747505</v>
      </c>
      <c r="CM41" s="525">
        <f>'Recycling - Case 3'!CE111</f>
        <v>0.32597845323728303</v>
      </c>
    </row>
    <row r="42" spans="1:91">
      <c r="A42" s="4">
        <f>'Input data'!A131</f>
        <v>2031</v>
      </c>
      <c r="B42" s="4"/>
      <c r="C42" s="769">
        <f>'4A SWD Case 1'!BG101</f>
        <v>550.10202311178875</v>
      </c>
      <c r="D42" s="3">
        <f>'4B Biological treatment '!T95</f>
        <v>0.79534766107610655</v>
      </c>
      <c r="E42" s="1157">
        <f>'4B Biological treatment '!U95</f>
        <v>35.790644748424789</v>
      </c>
      <c r="F42" s="1157">
        <f>'4B Biological treatment '!W95</f>
        <v>2.1474386849054872</v>
      </c>
      <c r="G42" s="952">
        <f>'4C2 Open-burning '!R102</f>
        <v>20.920945264930513</v>
      </c>
      <c r="H42" s="952">
        <f>'4C2 Open-burning '!Z102</f>
        <v>7.0392575791150502</v>
      </c>
      <c r="I42" s="952">
        <f>'4C2 Open-burning '!AH102</f>
        <v>9.7998346446780099E-2</v>
      </c>
      <c r="J42" s="987">
        <f>'4D Wastewater treatment and dis'!AV139</f>
        <v>179.14729338241924</v>
      </c>
      <c r="K42" s="770">
        <f>'4D Wastewater treatment and dis'!AW139</f>
        <v>3.3539789441183268</v>
      </c>
      <c r="L42" s="771">
        <f t="shared" si="69"/>
        <v>11552.142485347564</v>
      </c>
      <c r="M42" s="772">
        <f t="shared" si="70"/>
        <v>16.702300882598237</v>
      </c>
      <c r="N42" s="771">
        <f t="shared" si="71"/>
        <v>1417.3095320376215</v>
      </c>
      <c r="O42" s="773">
        <f t="shared" si="72"/>
        <v>199.12484182484837</v>
      </c>
      <c r="P42" s="771">
        <f t="shared" si="73"/>
        <v>4801.8266337074856</v>
      </c>
      <c r="Q42" s="519">
        <f t="shared" si="74"/>
        <v>11552.142485347564</v>
      </c>
      <c r="R42" s="521">
        <f t="shared" si="75"/>
        <v>1434.0118329202196</v>
      </c>
      <c r="S42" s="518">
        <f t="shared" si="76"/>
        <v>199.12484182484837</v>
      </c>
      <c r="T42" s="519">
        <f t="shared" si="77"/>
        <v>4801.8266337074856</v>
      </c>
      <c r="U42" s="519">
        <f t="shared" si="78"/>
        <v>17987.105793800118</v>
      </c>
      <c r="V42" s="3"/>
      <c r="W42" s="596">
        <f t="shared" si="79"/>
        <v>2032</v>
      </c>
      <c r="X42" s="1101">
        <f t="shared" si="80"/>
        <v>11163.574426694926</v>
      </c>
      <c r="Y42" s="1102">
        <f t="shared" si="81"/>
        <v>1447.6306152129985</v>
      </c>
      <c r="Z42" s="1102">
        <f t="shared" si="82"/>
        <v>188.7479302250164</v>
      </c>
      <c r="AA42" s="1102">
        <f t="shared" si="83"/>
        <v>4880.3108912879725</v>
      </c>
      <c r="AB42" s="1142">
        <f t="shared" si="22"/>
        <v>17680.263863420914</v>
      </c>
      <c r="AC42" s="1423" t="str">
        <f>IF(OR('Recycling - Case 1'!AC112="No",'Recycling - Case 1'!T152="No"), "No", "Yes")</f>
        <v>No</v>
      </c>
      <c r="AD42" s="1101">
        <f t="shared" si="84"/>
        <v>11163.574426694926</v>
      </c>
      <c r="AE42" s="1102">
        <f t="shared" si="85"/>
        <v>1447.6306152129985</v>
      </c>
      <c r="AF42" s="1102">
        <f t="shared" si="86"/>
        <v>188.7479302250164</v>
      </c>
      <c r="AG42" s="1102">
        <f t="shared" si="87"/>
        <v>4880.3108912879725</v>
      </c>
      <c r="AH42" s="1142">
        <f t="shared" si="60"/>
        <v>17680.263863420914</v>
      </c>
      <c r="AI42" s="1423" t="str">
        <f>IF(OR('Recycling - Case 1'!AI23="No",'Recycling - Case 1'!Z152="No"), "No", "Yes")</f>
        <v>Yes</v>
      </c>
      <c r="AJ42" s="1101">
        <f t="shared" si="88"/>
        <v>10511.308320112737</v>
      </c>
      <c r="AK42" s="1102">
        <f t="shared" si="89"/>
        <v>1447.6306152129985</v>
      </c>
      <c r="AL42" s="1102">
        <f t="shared" si="90"/>
        <v>98.459981517794233</v>
      </c>
      <c r="AM42" s="1102">
        <f t="shared" si="91"/>
        <v>5555.3858532180511</v>
      </c>
      <c r="AN42" s="1142">
        <f t="shared" si="92"/>
        <v>17612.784770061582</v>
      </c>
      <c r="AO42" s="1416" t="str">
        <f>IF(OR('Recycling - Case 2'!AC112="No",'Recycling - Case 2'!T152="No"), "No", "Yes")</f>
        <v>No</v>
      </c>
      <c r="AP42" s="1101">
        <f t="shared" si="93"/>
        <v>10511.308320112737</v>
      </c>
      <c r="AQ42" s="1102">
        <f t="shared" si="94"/>
        <v>1447.6306152129985</v>
      </c>
      <c r="AR42" s="1102">
        <f t="shared" si="95"/>
        <v>98.459981517794233</v>
      </c>
      <c r="AS42" s="1102">
        <f t="shared" si="96"/>
        <v>5555.3858532180511</v>
      </c>
      <c r="AT42" s="1142">
        <f t="shared" si="37"/>
        <v>17612.784770061582</v>
      </c>
      <c r="AU42" s="1423" t="str">
        <f>IF(OR('Recycling - Case 2'!AC112="No",'Recycling - Case 2'!T192="No"), "No", "Yes")</f>
        <v>No</v>
      </c>
      <c r="AV42" s="1101">
        <f t="shared" si="63"/>
        <v>10511.999283875322</v>
      </c>
      <c r="AW42" s="1102">
        <f t="shared" si="64"/>
        <v>879.17666314932512</v>
      </c>
      <c r="AX42" s="1102">
        <f t="shared" si="65"/>
        <v>98.459981517794233</v>
      </c>
      <c r="AY42" s="1102">
        <f t="shared" si="66"/>
        <v>5555.3858532180511</v>
      </c>
      <c r="AZ42" s="1142">
        <f t="shared" si="67"/>
        <v>17045.021781760493</v>
      </c>
      <c r="BA42" s="1423" t="str">
        <f>IF(OR('Recycling - Case 3'!AC112="No",'Recycling - Case 3'!T152="No"), "No", "Yes")</f>
        <v>No</v>
      </c>
      <c r="BB42" s="1101">
        <f t="shared" si="97"/>
        <v>10511.999283875322</v>
      </c>
      <c r="BC42" s="1102">
        <f t="shared" si="98"/>
        <v>879.17666314932512</v>
      </c>
      <c r="BD42" s="1102">
        <f t="shared" si="99"/>
        <v>98.459981517794233</v>
      </c>
      <c r="BE42" s="1102">
        <f t="shared" si="100"/>
        <v>5555.3858532180511</v>
      </c>
      <c r="BF42" s="1142">
        <f t="shared" si="47"/>
        <v>17045.021781760493</v>
      </c>
      <c r="BG42" s="1423" t="str">
        <f>IF(OR('Recycling - Case 3'!AC112="No",'Recycling - Case 3'!T192="No"), "No", "Yes")</f>
        <v>No</v>
      </c>
      <c r="BH42" s="596">
        <f t="shared" si="48"/>
        <v>2032</v>
      </c>
      <c r="BI42" s="1102">
        <f>'Recycling - Case 1'!BV112</f>
        <v>91.964950458389495</v>
      </c>
      <c r="BJ42" s="417">
        <f>'Recycling - Case 1'!BW112</f>
        <v>0.56787133444026949</v>
      </c>
      <c r="BK42" s="1142">
        <f>'Recycling - Case 1'!BX112</f>
        <v>43.370376757557132</v>
      </c>
      <c r="BL42" s="1101">
        <f>'Recycling - Case 1'!BY112</f>
        <v>91.964950458389495</v>
      </c>
      <c r="BM42" s="417">
        <f>'Recycling - Case 1'!BZ112</f>
        <v>0.56787133444026949</v>
      </c>
      <c r="BN42" s="1142">
        <f>'Recycling - Case 1'!CA112</f>
        <v>43.370376757557132</v>
      </c>
      <c r="BO42" s="1102">
        <f>'Recycling - Case 2'!BV112</f>
        <v>89.890519125248531</v>
      </c>
      <c r="BP42" s="417">
        <f>'Recycling - Case 2'!BW112</f>
        <v>0.68571733008279778</v>
      </c>
      <c r="BQ42" s="1142">
        <f>'Recycling - Case 2'!BX112</f>
        <v>43.370376757557132</v>
      </c>
      <c r="BR42" s="1101">
        <f>'Recycling - Case 2'!BY112</f>
        <v>89.890519125248531</v>
      </c>
      <c r="BS42" s="417">
        <f>'Recycling - Case 2'!BZ112</f>
        <v>0.68571733008279778</v>
      </c>
      <c r="BT42" s="1142">
        <f>'Recycling - Case 2'!CA112</f>
        <v>43.370376757557132</v>
      </c>
      <c r="BU42" s="1102">
        <f>'Recycling - Case 3'!BV112</f>
        <v>89.890519125248531</v>
      </c>
      <c r="BV42" s="417">
        <f>'Recycling - Case 3'!BW112</f>
        <v>0.68571733008279778</v>
      </c>
      <c r="BW42" s="1142">
        <f>'Recycling - Case 3'!BX112</f>
        <v>43.370376757557132</v>
      </c>
      <c r="BX42" s="1101">
        <f>'Recycling - Case 3'!BY112</f>
        <v>89.890519125248531</v>
      </c>
      <c r="BY42" s="417">
        <f>'Recycling - Case 3'!BZ112</f>
        <v>0.68571733008279778</v>
      </c>
      <c r="BZ42" s="1142">
        <f>'Recycling - Case 3'!CA112</f>
        <v>43.370376757557132</v>
      </c>
      <c r="CA42" s="596">
        <v>2032</v>
      </c>
      <c r="CB42" s="649">
        <f>'Recycling - Case 1'!CB112</f>
        <v>0.26236415346842734</v>
      </c>
      <c r="CC42" s="417">
        <f>'Recycling - Case 1'!CC112</f>
        <v>0.33276731563826367</v>
      </c>
      <c r="CD42" s="417">
        <f>'Recycling - Case 1'!CD112</f>
        <v>0.26236415346842734</v>
      </c>
      <c r="CE42" s="525">
        <f>'Recycling - Case 1'!CE112</f>
        <v>0.33276731563826367</v>
      </c>
      <c r="CF42" s="649">
        <f>'Recycling - Case 2'!CB112</f>
        <v>0.33524737223917422</v>
      </c>
      <c r="CG42" s="417">
        <f>'Recycling - Case 2'!CC112</f>
        <v>0.33276731563826367</v>
      </c>
      <c r="CH42" s="417">
        <f>'Recycling - Case 2'!CD112</f>
        <v>0.33524737223917422</v>
      </c>
      <c r="CI42" s="525">
        <f>'Recycling - Case 2'!CE112</f>
        <v>0.33276731563826367</v>
      </c>
      <c r="CJ42" s="649">
        <f>'Recycling - Case 3'!CB112</f>
        <v>0.33524737223917422</v>
      </c>
      <c r="CK42" s="417">
        <f>'Recycling - Case 3'!CC112</f>
        <v>0.33276731563826367</v>
      </c>
      <c r="CL42" s="417">
        <f>'Recycling - Case 3'!CD112</f>
        <v>0.33524737223917422</v>
      </c>
      <c r="CM42" s="525">
        <f>'Recycling - Case 3'!CE112</f>
        <v>0.33276731563826367</v>
      </c>
    </row>
    <row r="43" spans="1:91">
      <c r="A43" s="4">
        <f>'Input data'!A132</f>
        <v>2032</v>
      </c>
      <c r="B43" s="4"/>
      <c r="C43" s="769">
        <f>'4A SWD Case 1'!BG102</f>
        <v>531.59878222356792</v>
      </c>
      <c r="D43" s="3">
        <f>'4B Biological treatment '!T96</f>
        <v>0.80290106223682667</v>
      </c>
      <c r="E43" s="1157">
        <f>'4B Biological treatment '!U96</f>
        <v>36.130547800657197</v>
      </c>
      <c r="F43" s="1157">
        <f>'4B Biological treatment '!W96</f>
        <v>2.1678328680394321</v>
      </c>
      <c r="G43" s="952">
        <f>'4C2 Open-burning '!R103</f>
        <v>19.830700584208724</v>
      </c>
      <c r="H43" s="952">
        <f>'4C2 Open-burning '!Z103</f>
        <v>6.6724236222992763</v>
      </c>
      <c r="I43" s="952">
        <f>'4C2 Open-burning '!AH103</f>
        <v>9.2891398621041524E-2</v>
      </c>
      <c r="J43" s="987">
        <f>'4D Wastewater treatment and dis'!AV140</f>
        <v>182.4620976517032</v>
      </c>
      <c r="K43" s="770">
        <f>'4D Wastewater treatment and dis'!AW140</f>
        <v>3.3826027116200144</v>
      </c>
      <c r="L43" s="771">
        <f t="shared" si="69"/>
        <v>11163.574426694926</v>
      </c>
      <c r="M43" s="772">
        <f t="shared" si="70"/>
        <v>16.860922306973361</v>
      </c>
      <c r="N43" s="771">
        <f t="shared" si="71"/>
        <v>1430.7696929060251</v>
      </c>
      <c r="O43" s="773">
        <f t="shared" si="72"/>
        <v>188.7479302250164</v>
      </c>
      <c r="P43" s="771">
        <f t="shared" si="73"/>
        <v>4880.3108912879725</v>
      </c>
      <c r="Q43" s="519">
        <f t="shared" si="74"/>
        <v>11163.574426694926</v>
      </c>
      <c r="R43" s="521">
        <f t="shared" si="75"/>
        <v>1447.6306152129985</v>
      </c>
      <c r="S43" s="518">
        <f t="shared" si="76"/>
        <v>188.7479302250164</v>
      </c>
      <c r="T43" s="519">
        <f t="shared" si="77"/>
        <v>4880.3108912879725</v>
      </c>
      <c r="U43" s="519">
        <f t="shared" si="78"/>
        <v>17680.263863420914</v>
      </c>
      <c r="V43" s="3"/>
      <c r="W43" s="596">
        <f t="shared" si="79"/>
        <v>2033</v>
      </c>
      <c r="X43" s="1101">
        <f t="shared" si="80"/>
        <v>10787.51916864466</v>
      </c>
      <c r="Y43" s="1102">
        <f t="shared" si="81"/>
        <v>1460.7997979665399</v>
      </c>
      <c r="Z43" s="1102">
        <f t="shared" si="82"/>
        <v>178.42741871714372</v>
      </c>
      <c r="AA43" s="1102">
        <f t="shared" si="83"/>
        <v>4959.7850255740987</v>
      </c>
      <c r="AB43" s="1142">
        <f t="shared" si="22"/>
        <v>17386.53141090244</v>
      </c>
      <c r="AC43" s="1423" t="str">
        <f>IF(OR('Recycling - Case 1'!AC113="No",'Recycling - Case 1'!T153="No"), "No", "Yes")</f>
        <v>No</v>
      </c>
      <c r="AD43" s="1101">
        <f t="shared" si="84"/>
        <v>10787.51916864466</v>
      </c>
      <c r="AE43" s="1102">
        <f t="shared" si="85"/>
        <v>1460.7997979665399</v>
      </c>
      <c r="AF43" s="1102">
        <f t="shared" si="86"/>
        <v>178.42741871714372</v>
      </c>
      <c r="AG43" s="1102">
        <f t="shared" si="87"/>
        <v>4959.7850255740987</v>
      </c>
      <c r="AH43" s="1142">
        <f t="shared" si="60"/>
        <v>17386.53141090244</v>
      </c>
      <c r="AI43" s="1423" t="str">
        <f>IF(OR('Recycling - Case 1'!AI24="No",'Recycling - Case 1'!Z153="No"), "No", "Yes")</f>
        <v>Yes</v>
      </c>
      <c r="AJ43" s="1101">
        <f t="shared" si="88"/>
        <v>10094.452935575424</v>
      </c>
      <c r="AK43" s="1102">
        <f t="shared" si="89"/>
        <v>1460.7997979665399</v>
      </c>
      <c r="AL43" s="1102">
        <f t="shared" si="90"/>
        <v>98.168119205727166</v>
      </c>
      <c r="AM43" s="1102">
        <f t="shared" si="91"/>
        <v>5602.7970253494477</v>
      </c>
      <c r="AN43" s="1142">
        <f t="shared" si="92"/>
        <v>17256.217878097137</v>
      </c>
      <c r="AO43" s="1416" t="str">
        <f>IF(OR('Recycling - Case 2'!AC113="No",'Recycling - Case 2'!T153="No"), "No", "Yes")</f>
        <v>No</v>
      </c>
      <c r="AP43" s="1101">
        <f t="shared" si="93"/>
        <v>10094.452935575424</v>
      </c>
      <c r="AQ43" s="1102">
        <f t="shared" si="94"/>
        <v>1460.7997979665399</v>
      </c>
      <c r="AR43" s="1102">
        <f t="shared" si="95"/>
        <v>98.168119205727166</v>
      </c>
      <c r="AS43" s="1102">
        <f t="shared" si="96"/>
        <v>5602.7970253494477</v>
      </c>
      <c r="AT43" s="1142">
        <f t="shared" si="37"/>
        <v>17256.217878097137</v>
      </c>
      <c r="AU43" s="1423" t="str">
        <f>IF(OR('Recycling - Case 2'!AC113="No",'Recycling - Case 2'!T193="No"), "No", "Yes")</f>
        <v>No</v>
      </c>
      <c r="AV43" s="1101">
        <f t="shared" si="63"/>
        <v>10095.218753119927</v>
      </c>
      <c r="AW43" s="1102">
        <f t="shared" si="64"/>
        <v>887.17458611944608</v>
      </c>
      <c r="AX43" s="1102">
        <f t="shared" si="65"/>
        <v>98.168119205727166</v>
      </c>
      <c r="AY43" s="1102">
        <f t="shared" si="66"/>
        <v>5602.7970253494477</v>
      </c>
      <c r="AZ43" s="1142">
        <f t="shared" si="67"/>
        <v>16683.358483794549</v>
      </c>
      <c r="BA43" s="1423" t="str">
        <f>IF(OR('Recycling - Case 3'!AC113="No",'Recycling - Case 3'!T153="No"), "No", "Yes")</f>
        <v>No</v>
      </c>
      <c r="BB43" s="1101">
        <f t="shared" si="97"/>
        <v>10095.218753119927</v>
      </c>
      <c r="BC43" s="1102">
        <f t="shared" si="98"/>
        <v>887.17458611944608</v>
      </c>
      <c r="BD43" s="1102">
        <f t="shared" si="99"/>
        <v>98.168119205727166</v>
      </c>
      <c r="BE43" s="1102">
        <f t="shared" si="100"/>
        <v>5602.7970253494477</v>
      </c>
      <c r="BF43" s="1142">
        <f t="shared" si="47"/>
        <v>16683.358483794549</v>
      </c>
      <c r="BG43" s="1423" t="str">
        <f>IF(OR('Recycling - Case 3'!AC113="No",'Recycling - Case 3'!T193="No"), "No", "Yes")</f>
        <v>No</v>
      </c>
      <c r="BH43" s="596">
        <f t="shared" si="48"/>
        <v>2033</v>
      </c>
      <c r="BI43" s="1102">
        <f>'Recycling - Case 1'!BV113</f>
        <v>91.409803082001517</v>
      </c>
      <c r="BJ43" s="417">
        <f>'Recycling - Case 1'!BW113</f>
        <v>0.57798266679060006</v>
      </c>
      <c r="BK43" s="1142">
        <f>'Recycling - Case 1'!BX113</f>
        <v>42.244930407056941</v>
      </c>
      <c r="BL43" s="1101">
        <f>'Recycling - Case 1'!BY113</f>
        <v>91.409803082001517</v>
      </c>
      <c r="BM43" s="417">
        <f>'Recycling - Case 1'!BZ113</f>
        <v>0.57798266679060006</v>
      </c>
      <c r="BN43" s="1142">
        <f>'Recycling - Case 1'!CA113</f>
        <v>42.244930407056941</v>
      </c>
      <c r="BO43" s="1102">
        <f>'Recycling - Case 2'!BV113</f>
        <v>89.703397536551293</v>
      </c>
      <c r="BP43" s="417">
        <f>'Recycling - Case 2'!BW113</f>
        <v>0.69258951948403003</v>
      </c>
      <c r="BQ43" s="1142">
        <f>'Recycling - Case 2'!BX113</f>
        <v>42.244930407056941</v>
      </c>
      <c r="BR43" s="1101">
        <f>'Recycling - Case 2'!BY113</f>
        <v>89.703397536551293</v>
      </c>
      <c r="BS43" s="417">
        <f>'Recycling - Case 2'!BZ113</f>
        <v>0.69258951948403003</v>
      </c>
      <c r="BT43" s="1142">
        <f>'Recycling - Case 2'!CA113</f>
        <v>42.244930407056941</v>
      </c>
      <c r="BU43" s="1102">
        <f>'Recycling - Case 3'!BV113</f>
        <v>89.703397536551293</v>
      </c>
      <c r="BV43" s="417">
        <f>'Recycling - Case 3'!BW113</f>
        <v>0.69258951948403003</v>
      </c>
      <c r="BW43" s="1142">
        <f>'Recycling - Case 3'!BX113</f>
        <v>42.244930407056941</v>
      </c>
      <c r="BX43" s="1101">
        <f>'Recycling - Case 3'!BY113</f>
        <v>89.703397536551293</v>
      </c>
      <c r="BY43" s="417">
        <f>'Recycling - Case 3'!BZ113</f>
        <v>0.69258951948403003</v>
      </c>
      <c r="BZ43" s="1142">
        <f>'Recycling - Case 3'!CA113</f>
        <v>42.244930407056941</v>
      </c>
      <c r="CA43" s="596">
        <v>2033</v>
      </c>
      <c r="CB43" s="649">
        <f>'Recycling - Case 1'!CB113</f>
        <v>0.27873582031809607</v>
      </c>
      <c r="CC43" s="417">
        <f>'Recycling - Case 1'!CC113</f>
        <v>0.34079928228707201</v>
      </c>
      <c r="CD43" s="417">
        <f>'Recycling - Case 1'!CD113</f>
        <v>0.27873582031809607</v>
      </c>
      <c r="CE43" s="525">
        <f>'Recycling - Case 1'!CE113</f>
        <v>0.34079928228707201</v>
      </c>
      <c r="CF43" s="649">
        <f>'Recycling - Case 2'!CB113</f>
        <v>0.33818146943254268</v>
      </c>
      <c r="CG43" s="417">
        <f>'Recycling - Case 2'!CC113</f>
        <v>0.34079928228707201</v>
      </c>
      <c r="CH43" s="417">
        <f>'Recycling - Case 2'!CD113</f>
        <v>0.33818146943254268</v>
      </c>
      <c r="CI43" s="525">
        <f>'Recycling - Case 2'!CE113</f>
        <v>0.34079928228707201</v>
      </c>
      <c r="CJ43" s="649">
        <f>'Recycling - Case 3'!CB113</f>
        <v>0.33818146943254268</v>
      </c>
      <c r="CK43" s="417">
        <f>'Recycling - Case 3'!CC113</f>
        <v>0.34079928228707201</v>
      </c>
      <c r="CL43" s="417">
        <f>'Recycling - Case 3'!CD113</f>
        <v>0.33818146943254268</v>
      </c>
      <c r="CM43" s="525">
        <f>'Recycling - Case 3'!CE113</f>
        <v>0.34079928228707201</v>
      </c>
    </row>
    <row r="44" spans="1:91">
      <c r="A44" s="4">
        <f>'Input data'!A133</f>
        <v>2033</v>
      </c>
      <c r="B44" s="4"/>
      <c r="C44" s="769">
        <f>'4A SWD Case 1'!BG103</f>
        <v>513.69138898307904</v>
      </c>
      <c r="D44" s="3">
        <f>'4B Biological treatment '!T97</f>
        <v>0.81020510147894631</v>
      </c>
      <c r="E44" s="1157">
        <f>'4B Biological treatment '!U97</f>
        <v>36.45922956655258</v>
      </c>
      <c r="F44" s="1157">
        <f>'4B Biological treatment '!W97</f>
        <v>2.1875537739931548</v>
      </c>
      <c r="G44" s="952">
        <f>'4C2 Open-burning '!R104</f>
        <v>18.746381549056849</v>
      </c>
      <c r="H44" s="952">
        <f>'4C2 Open-burning '!Z104</f>
        <v>6.3075834638019295</v>
      </c>
      <c r="I44" s="952">
        <f>'4C2 Open-burning '!AH104</f>
        <v>8.7812207833052797E-2</v>
      </c>
      <c r="J44" s="987">
        <f>'4D Wastewater treatment and dis'!AV141</f>
        <v>185.8204328244677</v>
      </c>
      <c r="K44" s="770">
        <f>'4D Wastewater treatment and dis'!AW141</f>
        <v>3.4114707621299263</v>
      </c>
      <c r="L44" s="771">
        <f t="shared" si="69"/>
        <v>10787.51916864466</v>
      </c>
      <c r="M44" s="772">
        <f t="shared" si="70"/>
        <v>17.014307131057873</v>
      </c>
      <c r="N44" s="771">
        <f t="shared" si="71"/>
        <v>1443.7854908354821</v>
      </c>
      <c r="O44" s="773">
        <f t="shared" si="72"/>
        <v>178.42741871714372</v>
      </c>
      <c r="P44" s="771">
        <f t="shared" si="73"/>
        <v>4959.7850255740987</v>
      </c>
      <c r="Q44" s="519">
        <f t="shared" si="74"/>
        <v>10787.51916864466</v>
      </c>
      <c r="R44" s="521">
        <f t="shared" si="75"/>
        <v>1460.7997979665399</v>
      </c>
      <c r="S44" s="518">
        <f t="shared" si="76"/>
        <v>178.42741871714372</v>
      </c>
      <c r="T44" s="519">
        <f t="shared" si="77"/>
        <v>4959.7850255740987</v>
      </c>
      <c r="U44" s="519">
        <f t="shared" si="78"/>
        <v>17386.53141090244</v>
      </c>
      <c r="V44" s="3"/>
      <c r="W44" s="596">
        <f t="shared" si="79"/>
        <v>2034</v>
      </c>
      <c r="X44" s="1101">
        <f t="shared" si="80"/>
        <v>10423.214157988392</v>
      </c>
      <c r="Y44" s="1102">
        <f t="shared" si="81"/>
        <v>1476.9938373252571</v>
      </c>
      <c r="Z44" s="1102">
        <f t="shared" si="82"/>
        <v>168.16219083511854</v>
      </c>
      <c r="AA44" s="1102">
        <f t="shared" si="83"/>
        <v>5040.2602160131582</v>
      </c>
      <c r="AB44" s="1142">
        <f t="shared" si="22"/>
        <v>17108.630402161925</v>
      </c>
      <c r="AC44" s="1423" t="str">
        <f>IF(OR('Recycling - Case 1'!AC114="No",'Recycling - Case 1'!T154="No"), "No", "Yes")</f>
        <v>No</v>
      </c>
      <c r="AD44" s="1101">
        <f t="shared" si="84"/>
        <v>10423.214157988392</v>
      </c>
      <c r="AE44" s="1102">
        <f t="shared" si="85"/>
        <v>1476.9938373252571</v>
      </c>
      <c r="AF44" s="1102">
        <f t="shared" si="86"/>
        <v>168.16219083511854</v>
      </c>
      <c r="AG44" s="1102">
        <f t="shared" si="87"/>
        <v>5040.2602160131582</v>
      </c>
      <c r="AH44" s="1142">
        <f t="shared" si="60"/>
        <v>17108.630402161925</v>
      </c>
      <c r="AI44" s="1423" t="str">
        <f>IF(OR('Recycling - Case 1'!AI25="No",'Recycling - Case 1'!Z154="No"), "No", "Yes")</f>
        <v>Yes</v>
      </c>
      <c r="AJ44" s="1101">
        <f t="shared" si="88"/>
        <v>9698.1709420382304</v>
      </c>
      <c r="AK44" s="1102">
        <f t="shared" si="89"/>
        <v>1476.9938373252571</v>
      </c>
      <c r="AL44" s="1102">
        <f t="shared" si="90"/>
        <v>97.880430060004471</v>
      </c>
      <c r="AM44" s="1102">
        <f t="shared" si="91"/>
        <v>5650.6128173042498</v>
      </c>
      <c r="AN44" s="1142">
        <f t="shared" si="92"/>
        <v>16923.658026727742</v>
      </c>
      <c r="AO44" s="1416" t="str">
        <f>IF(OR('Recycling - Case 2'!AC114="No",'Recycling - Case 2'!T154="No"), "No", "Yes")</f>
        <v>No</v>
      </c>
      <c r="AP44" s="1101">
        <f t="shared" si="93"/>
        <v>9698.1709420382304</v>
      </c>
      <c r="AQ44" s="1102">
        <f t="shared" si="94"/>
        <v>1476.9938373252571</v>
      </c>
      <c r="AR44" s="1102">
        <f t="shared" si="95"/>
        <v>97.880430060004471</v>
      </c>
      <c r="AS44" s="1102">
        <f t="shared" si="96"/>
        <v>5650.6128173042498</v>
      </c>
      <c r="AT44" s="1142">
        <f t="shared" si="37"/>
        <v>16923.658026727742</v>
      </c>
      <c r="AU44" s="1423" t="str">
        <f>IF(OR('Recycling - Case 2'!AC114="No",'Recycling - Case 2'!T194="No"), "No", "Yes")</f>
        <v>No</v>
      </c>
      <c r="AV44" s="1101">
        <f t="shared" si="63"/>
        <v>9699.0082364493792</v>
      </c>
      <c r="AW44" s="1102">
        <f t="shared" si="64"/>
        <v>897.00956842548896</v>
      </c>
      <c r="AX44" s="1102">
        <f t="shared" si="65"/>
        <v>97.880430060004471</v>
      </c>
      <c r="AY44" s="1102">
        <f t="shared" si="66"/>
        <v>5650.6128173042498</v>
      </c>
      <c r="AZ44" s="1142">
        <f t="shared" si="67"/>
        <v>16344.511052239122</v>
      </c>
      <c r="BA44" s="1423" t="str">
        <f>IF(OR('Recycling - Case 3'!AC114="No",'Recycling - Case 3'!T154="No"), "No", "Yes")</f>
        <v>No</v>
      </c>
      <c r="BB44" s="1101">
        <f t="shared" si="97"/>
        <v>9699.0082364493792</v>
      </c>
      <c r="BC44" s="1102">
        <f t="shared" si="98"/>
        <v>897.00956842548896</v>
      </c>
      <c r="BD44" s="1102">
        <f t="shared" si="99"/>
        <v>97.880430060004471</v>
      </c>
      <c r="BE44" s="1102">
        <f t="shared" si="100"/>
        <v>5650.6128173042498</v>
      </c>
      <c r="BF44" s="1142">
        <f t="shared" si="47"/>
        <v>16344.511052239122</v>
      </c>
      <c r="BG44" s="1423" t="str">
        <f>IF(OR('Recycling - Case 3'!AC114="No",'Recycling - Case 3'!T194="No"), "No", "Yes")</f>
        <v>No</v>
      </c>
      <c r="BH44" s="596">
        <f t="shared" si="48"/>
        <v>2034</v>
      </c>
      <c r="BI44" s="1102">
        <f>'Recycling - Case 1'!BV114</f>
        <v>90.399898463030297</v>
      </c>
      <c r="BJ44" s="417">
        <f>'Recycling - Case 1'!BW114</f>
        <v>0.59193024863410437</v>
      </c>
      <c r="BK44" s="1142">
        <f>'Recycling - Case 1'!BX114</f>
        <v>40.465875003352018</v>
      </c>
      <c r="BL44" s="1101">
        <f>'Recycling - Case 1'!BY114</f>
        <v>90.399898463030297</v>
      </c>
      <c r="BM44" s="417">
        <f>'Recycling - Case 1'!BZ114</f>
        <v>0.59193024863410437</v>
      </c>
      <c r="BN44" s="1142">
        <f>'Recycling - Case 1'!CA114</f>
        <v>40.465875003352018</v>
      </c>
      <c r="BO44" s="1102">
        <f>'Recycling - Case 2'!BV114</f>
        <v>89.061169010269779</v>
      </c>
      <c r="BP44" s="417">
        <f>'Recycling - Case 2'!BW114</f>
        <v>0.70235814785513706</v>
      </c>
      <c r="BQ44" s="1142">
        <f>'Recycling - Case 2'!BX114</f>
        <v>40.465875003352018</v>
      </c>
      <c r="BR44" s="1101">
        <f>'Recycling - Case 2'!BY114</f>
        <v>89.061169010269779</v>
      </c>
      <c r="BS44" s="417">
        <f>'Recycling - Case 2'!BZ114</f>
        <v>0.70235814785513706</v>
      </c>
      <c r="BT44" s="1142">
        <f>'Recycling - Case 2'!CA114</f>
        <v>40.465875003352018</v>
      </c>
      <c r="BU44" s="1102">
        <f>'Recycling - Case 3'!BV114</f>
        <v>89.061169010269779</v>
      </c>
      <c r="BV44" s="417">
        <f>'Recycling - Case 3'!BW114</f>
        <v>0.70235814785513706</v>
      </c>
      <c r="BW44" s="1142">
        <f>'Recycling - Case 3'!BX114</f>
        <v>40.465875003352018</v>
      </c>
      <c r="BX44" s="1101">
        <f>'Recycling - Case 3'!BY114</f>
        <v>89.061169010269779</v>
      </c>
      <c r="BY44" s="417">
        <f>'Recycling - Case 3'!BZ114</f>
        <v>0.70235814785513706</v>
      </c>
      <c r="BZ44" s="1142">
        <f>'Recycling - Case 3'!CA114</f>
        <v>40.465875003352018</v>
      </c>
      <c r="CA44" s="596">
        <v>2034</v>
      </c>
      <c r="CB44" s="649">
        <f>'Recycling - Case 1'!CB114</f>
        <v>0.29484629303664733</v>
      </c>
      <c r="CC44" s="417">
        <f>'Recycling - Case 1'!CC114</f>
        <v>0.35177689426581371</v>
      </c>
      <c r="CD44" s="417">
        <f>'Recycling - Case 1'!CD114</f>
        <v>0.29484629303664733</v>
      </c>
      <c r="CE44" s="525">
        <f>'Recycling - Case 1'!CE114</f>
        <v>0.35177689426581371</v>
      </c>
      <c r="CF44" s="649">
        <f>'Recycling - Case 2'!CB114</f>
        <v>0.34108865163413971</v>
      </c>
      <c r="CG44" s="417">
        <f>'Recycling - Case 2'!CC114</f>
        <v>0.35177689426581371</v>
      </c>
      <c r="CH44" s="417">
        <f>'Recycling - Case 2'!CD114</f>
        <v>0.34108865163413971</v>
      </c>
      <c r="CI44" s="525">
        <f>'Recycling - Case 2'!CE114</f>
        <v>0.35177689426581371</v>
      </c>
      <c r="CJ44" s="649">
        <f>'Recycling - Case 3'!CB114</f>
        <v>0.34108865163413971</v>
      </c>
      <c r="CK44" s="417">
        <f>'Recycling - Case 3'!CC114</f>
        <v>0.35177689426581371</v>
      </c>
      <c r="CL44" s="417">
        <f>'Recycling - Case 3'!CD114</f>
        <v>0.34108865163413971</v>
      </c>
      <c r="CM44" s="525">
        <f>'Recycling - Case 3'!CE114</f>
        <v>0.35177689426581371</v>
      </c>
    </row>
    <row r="45" spans="1:91">
      <c r="A45" s="4">
        <f>'Input data'!A134</f>
        <v>2034</v>
      </c>
      <c r="B45" s="4"/>
      <c r="C45" s="769">
        <f>'4A SWD Case 1'!BG104</f>
        <v>496.34353133278057</v>
      </c>
      <c r="D45" s="3">
        <f>'4B Biological treatment '!T98</f>
        <v>0.81918682047989866</v>
      </c>
      <c r="E45" s="1157">
        <f>'4B Biological treatment '!U98</f>
        <v>36.863406921595434</v>
      </c>
      <c r="F45" s="1157">
        <f>'4B Biological treatment '!W98</f>
        <v>2.2118044152957261</v>
      </c>
      <c r="G45" s="952">
        <f>'4C2 Open-burning '!R105</f>
        <v>17.667870858558523</v>
      </c>
      <c r="H45" s="952">
        <f>'4C2 Open-burning '!Z105</f>
        <v>5.9446976354558663</v>
      </c>
      <c r="I45" s="952">
        <f>'4C2 Open-burning '!AH105</f>
        <v>8.2760224619312345E-2</v>
      </c>
      <c r="J45" s="987">
        <f>'4D Wastewater treatment and dis'!AV142</f>
        <v>189.22280048005791</v>
      </c>
      <c r="K45" s="770">
        <f>'4D Wastewater treatment and dis'!AW142</f>
        <v>3.4405851804256198</v>
      </c>
      <c r="L45" s="771">
        <f t="shared" si="69"/>
        <v>10423.214157988392</v>
      </c>
      <c r="M45" s="772">
        <f t="shared" si="70"/>
        <v>17.202923230077872</v>
      </c>
      <c r="N45" s="771">
        <f t="shared" si="71"/>
        <v>1459.7909140951792</v>
      </c>
      <c r="O45" s="773">
        <f t="shared" si="72"/>
        <v>168.16219083511854</v>
      </c>
      <c r="P45" s="771">
        <f t="shared" si="73"/>
        <v>5040.2602160131582</v>
      </c>
      <c r="Q45" s="519">
        <f t="shared" si="74"/>
        <v>10423.214157988392</v>
      </c>
      <c r="R45" s="521">
        <f t="shared" si="75"/>
        <v>1476.9938373252571</v>
      </c>
      <c r="S45" s="518">
        <f t="shared" si="76"/>
        <v>168.16219083511854</v>
      </c>
      <c r="T45" s="519">
        <f t="shared" si="77"/>
        <v>5040.2602160131582</v>
      </c>
      <c r="U45" s="519">
        <f t="shared" si="78"/>
        <v>17108.630402161925</v>
      </c>
      <c r="V45" s="3"/>
      <c r="W45" s="596">
        <f t="shared" si="79"/>
        <v>2035</v>
      </c>
      <c r="X45" s="1101">
        <f t="shared" si="80"/>
        <v>10069.933932863858</v>
      </c>
      <c r="Y45" s="1102">
        <f t="shared" si="81"/>
        <v>1490.7366213146579</v>
      </c>
      <c r="Z45" s="1102">
        <f t="shared" si="82"/>
        <v>157.95115591721603</v>
      </c>
      <c r="AA45" s="1102">
        <f t="shared" si="83"/>
        <v>5121.7477607728442</v>
      </c>
      <c r="AB45" s="1142">
        <f t="shared" si="22"/>
        <v>16840.369470868576</v>
      </c>
      <c r="AC45" s="1423" t="str">
        <f>IF(OR('Recycling - Case 1'!AC115="No",'Recycling - Case 1'!T155="No"), "No", "Yes")</f>
        <v>Yes</v>
      </c>
      <c r="AD45" s="1101">
        <f t="shared" si="84"/>
        <v>10069.933932863858</v>
      </c>
      <c r="AE45" s="1102">
        <f t="shared" si="85"/>
        <v>1490.7366213146579</v>
      </c>
      <c r="AF45" s="1102">
        <f t="shared" si="86"/>
        <v>157.95115591721603</v>
      </c>
      <c r="AG45" s="1102">
        <f t="shared" si="87"/>
        <v>5121.7477607728442</v>
      </c>
      <c r="AH45" s="1142">
        <f t="shared" si="60"/>
        <v>16840.369470868576</v>
      </c>
      <c r="AI45" s="1423" t="str">
        <f>IF(OR('Recycling - Case 1'!AI26="No",'Recycling - Case 1'!Z155="No"), "No", "Yes")</f>
        <v>Yes</v>
      </c>
      <c r="AJ45" s="1101">
        <f t="shared" si="88"/>
        <v>9321.4592618938968</v>
      </c>
      <c r="AK45" s="1102">
        <f t="shared" si="89"/>
        <v>1490.7366213146579</v>
      </c>
      <c r="AL45" s="1102">
        <f t="shared" si="90"/>
        <v>97.596835379073497</v>
      </c>
      <c r="AM45" s="1102">
        <f t="shared" si="91"/>
        <v>5698.8366822179532</v>
      </c>
      <c r="AN45" s="1142">
        <f t="shared" si="92"/>
        <v>16608.629400805581</v>
      </c>
      <c r="AO45" s="1416" t="str">
        <f>IF(OR('Recycling - Case 2'!AC115="No",'Recycling - Case 2'!T155="No"), "No", "Yes")</f>
        <v>No</v>
      </c>
      <c r="AP45" s="1101">
        <f t="shared" si="93"/>
        <v>9321.4592618938968</v>
      </c>
      <c r="AQ45" s="1102">
        <f t="shared" si="94"/>
        <v>1490.7366213146579</v>
      </c>
      <c r="AR45" s="1102">
        <f t="shared" si="95"/>
        <v>97.596835379073497</v>
      </c>
      <c r="AS45" s="1102">
        <f t="shared" si="96"/>
        <v>5698.8366822179532</v>
      </c>
      <c r="AT45" s="1142">
        <f t="shared" si="37"/>
        <v>16608.629400805581</v>
      </c>
      <c r="AU45" s="1423" t="str">
        <f>IF(OR('Recycling - Case 2'!AC115="No",'Recycling - Case 2'!T195="No"), "No", "Yes")</f>
        <v>No</v>
      </c>
      <c r="AV45" s="1101">
        <f t="shared" si="63"/>
        <v>9322.364861295262</v>
      </c>
      <c r="AW45" s="1102">
        <f t="shared" si="64"/>
        <v>905.35585154717148</v>
      </c>
      <c r="AX45" s="1102">
        <f t="shared" si="65"/>
        <v>97.596835379073497</v>
      </c>
      <c r="AY45" s="1102">
        <f t="shared" si="66"/>
        <v>5698.8366822179532</v>
      </c>
      <c r="AZ45" s="1142">
        <f t="shared" si="67"/>
        <v>16024.154230439461</v>
      </c>
      <c r="BA45" s="1423" t="str">
        <f>IF(OR('Recycling - Case 3'!AC115="No",'Recycling - Case 3'!T155="No"), "No", "Yes")</f>
        <v>No</v>
      </c>
      <c r="BB45" s="1101">
        <f t="shared" si="97"/>
        <v>9322.364861295262</v>
      </c>
      <c r="BC45" s="1102">
        <f t="shared" si="98"/>
        <v>905.35585154717148</v>
      </c>
      <c r="BD45" s="1102">
        <f t="shared" si="99"/>
        <v>97.596835379073497</v>
      </c>
      <c r="BE45" s="1102">
        <f t="shared" si="100"/>
        <v>5698.8366822179532</v>
      </c>
      <c r="BF45" s="1142">
        <f t="shared" si="47"/>
        <v>16024.154230439461</v>
      </c>
      <c r="BG45" s="1423" t="str">
        <f>IF(OR('Recycling - Case 3'!AC115="No",'Recycling - Case 3'!T195="No"), "No", "Yes")</f>
        <v>No</v>
      </c>
      <c r="BH45" s="596">
        <f t="shared" si="48"/>
        <v>2035</v>
      </c>
      <c r="BI45" s="1102">
        <f>'Recycling - Case 1'!BV115</f>
        <v>85.849150609595696</v>
      </c>
      <c r="BJ45" s="417">
        <f>'Recycling - Case 1'!BW115</f>
        <v>0.61696376678633957</v>
      </c>
      <c r="BK45" s="1142">
        <f>'Recycling - Case 1'!BX115</f>
        <v>33.374025316822049</v>
      </c>
      <c r="BL45" s="1101">
        <f>'Recycling - Case 1'!BY115</f>
        <v>85.849150609595696</v>
      </c>
      <c r="BM45" s="417">
        <f>'Recycling - Case 1'!BZ115</f>
        <v>0.61696376678633957</v>
      </c>
      <c r="BN45" s="1142">
        <f>'Recycling - Case 1'!CA115</f>
        <v>33.374025316822049</v>
      </c>
      <c r="BO45" s="1102">
        <f>'Recycling - Case 2'!BV115</f>
        <v>82.946593849088401</v>
      </c>
      <c r="BP45" s="417">
        <f>'Recycling - Case 2'!BW115</f>
        <v>0.73171627123143212</v>
      </c>
      <c r="BQ45" s="1142">
        <f>'Recycling - Case 2'!BX115</f>
        <v>33.374025316822049</v>
      </c>
      <c r="BR45" s="1101">
        <f>'Recycling - Case 2'!BY115</f>
        <v>82.946593849088401</v>
      </c>
      <c r="BS45" s="417">
        <f>'Recycling - Case 2'!BZ115</f>
        <v>0.73171627123143212</v>
      </c>
      <c r="BT45" s="1142">
        <f>'Recycling - Case 2'!CA115</f>
        <v>33.374025316822049</v>
      </c>
      <c r="BU45" s="1102">
        <f>'Recycling - Case 3'!BV115</f>
        <v>82.946593849088401</v>
      </c>
      <c r="BV45" s="417">
        <f>'Recycling - Case 3'!BW115</f>
        <v>0.73171627123143212</v>
      </c>
      <c r="BW45" s="1142">
        <f>'Recycling - Case 3'!BX115</f>
        <v>33.374025316822049</v>
      </c>
      <c r="BX45" s="1101">
        <f>'Recycling - Case 3'!BY115</f>
        <v>82.946593849088401</v>
      </c>
      <c r="BY45" s="417">
        <f>'Recycling - Case 3'!BZ115</f>
        <v>0.73171627123143212</v>
      </c>
      <c r="BZ45" s="1142">
        <f>'Recycling - Case 3'!CA115</f>
        <v>33.374025316822049</v>
      </c>
      <c r="CA45" s="596">
        <v>2035</v>
      </c>
      <c r="CB45" s="649">
        <f>'Recycling - Case 1'!CB115</f>
        <v>0.31069930485615582</v>
      </c>
      <c r="CC45" s="417">
        <f>'Recycling - Case 1'!CC115</f>
        <v>0.36179529647693132</v>
      </c>
      <c r="CD45" s="417">
        <f>'Recycling - Case 1'!CD115</f>
        <v>0.31069930485615582</v>
      </c>
      <c r="CE45" s="525">
        <f>'Recycling - Case 1'!CE115</f>
        <v>0.36179529647693132</v>
      </c>
      <c r="CF45" s="649">
        <f>'Recycling - Case 2'!CB115</f>
        <v>0.34396919974586804</v>
      </c>
      <c r="CG45" s="417">
        <f>'Recycling - Case 2'!CC115</f>
        <v>0.38054779505581349</v>
      </c>
      <c r="CH45" s="417">
        <f>'Recycling - Case 2'!CD115</f>
        <v>0.34396919974586804</v>
      </c>
      <c r="CI45" s="525">
        <f>'Recycling - Case 2'!CE115</f>
        <v>0.38054779505581349</v>
      </c>
      <c r="CJ45" s="649">
        <f>'Recycling - Case 3'!CB115</f>
        <v>0.34396919974586804</v>
      </c>
      <c r="CK45" s="417">
        <f>'Recycling - Case 3'!CC115</f>
        <v>0.38054779505581349</v>
      </c>
      <c r="CL45" s="417">
        <f>'Recycling - Case 3'!CD115</f>
        <v>0.34396919974586804</v>
      </c>
      <c r="CM45" s="525">
        <f>'Recycling - Case 3'!CE115</f>
        <v>0.38054779505581349</v>
      </c>
    </row>
    <row r="46" spans="1:91">
      <c r="A46" s="4">
        <f>'Input data'!A135</f>
        <v>2035</v>
      </c>
      <c r="B46" s="4"/>
      <c r="C46" s="769">
        <f>'4A SWD Case 1'!BG105</f>
        <v>479.52066346970753</v>
      </c>
      <c r="D46" s="3">
        <f>'4B Biological treatment '!T99</f>
        <v>0.82680899684673204</v>
      </c>
      <c r="E46" s="1157">
        <f>'4B Biological treatment '!U99</f>
        <v>37.206404858102943</v>
      </c>
      <c r="F46" s="1157">
        <f>'4B Biological treatment '!W99</f>
        <v>2.2323842914861762</v>
      </c>
      <c r="G46" s="952">
        <f>'4C2 Open-burning '!R106</f>
        <v>16.595053922921537</v>
      </c>
      <c r="H46" s="952">
        <f>'4C2 Open-burning '!Z106</f>
        <v>5.5837275813042186</v>
      </c>
      <c r="I46" s="952">
        <f>'4C2 Open-burning '!AH106</f>
        <v>7.773491221582543E-2</v>
      </c>
      <c r="J46" s="987">
        <f>'4D Wastewater treatment and dis'!AV143</f>
        <v>192.66970758852685</v>
      </c>
      <c r="K46" s="770">
        <f>'4D Wastewater treatment and dis'!AW143</f>
        <v>3.4699480690767106</v>
      </c>
      <c r="L46" s="771">
        <f t="shared" si="69"/>
        <v>10069.933932863858</v>
      </c>
      <c r="M46" s="772">
        <f t="shared" si="70"/>
        <v>17.362988933781374</v>
      </c>
      <c r="N46" s="771">
        <f t="shared" si="71"/>
        <v>1473.3736323808764</v>
      </c>
      <c r="O46" s="773">
        <f t="shared" si="72"/>
        <v>157.95115591721603</v>
      </c>
      <c r="P46" s="771">
        <f t="shared" si="73"/>
        <v>5121.7477607728442</v>
      </c>
      <c r="Q46" s="519">
        <f t="shared" si="74"/>
        <v>10069.933932863858</v>
      </c>
      <c r="R46" s="521">
        <f t="shared" si="75"/>
        <v>1490.7366213146579</v>
      </c>
      <c r="S46" s="518">
        <f t="shared" si="76"/>
        <v>157.95115591721603</v>
      </c>
      <c r="T46" s="519">
        <f t="shared" si="77"/>
        <v>5121.7477607728442</v>
      </c>
      <c r="U46" s="519">
        <f t="shared" si="78"/>
        <v>16840.369470868576</v>
      </c>
      <c r="V46" s="3"/>
      <c r="W46" s="596">
        <f t="shared" si="79"/>
        <v>2036</v>
      </c>
      <c r="X46" s="1101">
        <f t="shared" si="80"/>
        <v>9736.79872957308</v>
      </c>
      <c r="Y46" s="1102">
        <f t="shared" si="81"/>
        <v>1504.3966288100255</v>
      </c>
      <c r="Z46" s="1102">
        <f t="shared" si="82"/>
        <v>147.84395852682215</v>
      </c>
      <c r="AA46" s="1102">
        <f t="shared" si="83"/>
        <v>5197.9991360271206</v>
      </c>
      <c r="AB46" s="1142">
        <f t="shared" si="22"/>
        <v>16587.038452937049</v>
      </c>
      <c r="AC46" s="1423" t="str">
        <f>IF(OR('Recycling - Case 1'!AC116="No",'Recycling - Case 1'!T156="No"), "No", "Yes")</f>
        <v>Yes</v>
      </c>
      <c r="AD46" s="1101">
        <f t="shared" si="84"/>
        <v>9736.79872957308</v>
      </c>
      <c r="AE46" s="1102">
        <f t="shared" si="85"/>
        <v>1504.3966288100255</v>
      </c>
      <c r="AF46" s="1102">
        <f t="shared" si="86"/>
        <v>147.84395852682215</v>
      </c>
      <c r="AG46" s="1102">
        <f t="shared" si="87"/>
        <v>5197.9991360271206</v>
      </c>
      <c r="AH46" s="1142">
        <f t="shared" si="60"/>
        <v>16587.038452937049</v>
      </c>
      <c r="AI46" s="1423" t="str">
        <f>IF(OR('Recycling - Case 1'!AI27="No",'Recycling - Case 1'!Z156="No"), "No", "Yes")</f>
        <v>Yes</v>
      </c>
      <c r="AJ46" s="1101">
        <f t="shared" si="88"/>
        <v>8963.3636960484309</v>
      </c>
      <c r="AK46" s="1102">
        <f t="shared" si="89"/>
        <v>1504.3966288100255</v>
      </c>
      <c r="AL46" s="1102">
        <f t="shared" si="90"/>
        <v>97.356613290882166</v>
      </c>
      <c r="AM46" s="1102">
        <f t="shared" si="91"/>
        <v>5740.5587570983689</v>
      </c>
      <c r="AN46" s="1142">
        <f t="shared" si="92"/>
        <v>16305.675695247708</v>
      </c>
      <c r="AO46" s="1416" t="str">
        <f>IF(OR('Recycling - Case 2'!AC116="No",'Recycling - Case 2'!T156="No"), "No", "Yes")</f>
        <v>No</v>
      </c>
      <c r="AP46" s="1101">
        <f t="shared" si="93"/>
        <v>8963.3636960484309</v>
      </c>
      <c r="AQ46" s="1102">
        <f t="shared" si="94"/>
        <v>1504.3966288100255</v>
      </c>
      <c r="AR46" s="1102">
        <f t="shared" si="95"/>
        <v>97.356613290882166</v>
      </c>
      <c r="AS46" s="1102">
        <f t="shared" si="96"/>
        <v>5740.5587570983689</v>
      </c>
      <c r="AT46" s="1142">
        <f t="shared" si="37"/>
        <v>16305.675695247708</v>
      </c>
      <c r="AU46" s="1423" t="str">
        <f>IF(OR('Recycling - Case 2'!AC116="No",'Recycling - Case 2'!T196="No"), "No", "Yes")</f>
        <v>No</v>
      </c>
      <c r="AV46" s="1101">
        <f t="shared" si="63"/>
        <v>8964.3346217334511</v>
      </c>
      <c r="AW46" s="1102">
        <f t="shared" si="64"/>
        <v>913.65186275484075</v>
      </c>
      <c r="AX46" s="1102">
        <f t="shared" si="65"/>
        <v>97.356613290882166</v>
      </c>
      <c r="AY46" s="1102">
        <f t="shared" si="66"/>
        <v>5740.5587570983689</v>
      </c>
      <c r="AZ46" s="1142">
        <f t="shared" si="67"/>
        <v>15715.901854877542</v>
      </c>
      <c r="BA46" s="1423" t="str">
        <f>IF(OR('Recycling - Case 3'!AC116="No",'Recycling - Case 3'!T156="No"), "No", "Yes")</f>
        <v>No</v>
      </c>
      <c r="BB46" s="1101">
        <f t="shared" si="97"/>
        <v>8964.3346217334511</v>
      </c>
      <c r="BC46" s="1102">
        <f t="shared" si="98"/>
        <v>913.65186275484075</v>
      </c>
      <c r="BD46" s="1102">
        <f t="shared" si="99"/>
        <v>97.356613290882166</v>
      </c>
      <c r="BE46" s="1102">
        <f t="shared" si="100"/>
        <v>5740.5587570983689</v>
      </c>
      <c r="BF46" s="1142">
        <f t="shared" si="47"/>
        <v>15715.901854877542</v>
      </c>
      <c r="BG46" s="1423" t="str">
        <f>IF(OR('Recycling - Case 3'!AC116="No",'Recycling - Case 3'!T196="No"), "No", "Yes")</f>
        <v>No</v>
      </c>
      <c r="BH46" s="596">
        <f t="shared" si="48"/>
        <v>2036</v>
      </c>
      <c r="BI46" s="1102">
        <f>'Recycling - Case 1'!BV116</f>
        <v>83.664000483985475</v>
      </c>
      <c r="BJ46" s="417">
        <f>'Recycling - Case 1'!BW116</f>
        <v>0.62210335541681328</v>
      </c>
      <c r="BK46" s="1142">
        <f>'Recycling - Case 1'!BX116</f>
        <v>24.482482614495005</v>
      </c>
      <c r="BL46" s="1101">
        <f>'Recycling - Case 1'!BY116</f>
        <v>83.664000483985475</v>
      </c>
      <c r="BM46" s="417">
        <f>'Recycling - Case 1'!BZ116</f>
        <v>0.62210335541681328</v>
      </c>
      <c r="BN46" s="1142">
        <f>'Recycling - Case 1'!CA116</f>
        <v>24.482482614495005</v>
      </c>
      <c r="BO46" s="1102">
        <f>'Recycling - Case 2'!BV116</f>
        <v>75.016350094586969</v>
      </c>
      <c r="BP46" s="417">
        <f>'Recycling - Case 2'!BW116</f>
        <v>0.77447188721182603</v>
      </c>
      <c r="BQ46" s="1142">
        <f>'Recycling - Case 2'!BX116</f>
        <v>24.482482614495005</v>
      </c>
      <c r="BR46" s="1101">
        <f>'Recycling - Case 2'!BY116</f>
        <v>75.016350094586969</v>
      </c>
      <c r="BS46" s="417">
        <f>'Recycling - Case 2'!BZ116</f>
        <v>0.77447188721182603</v>
      </c>
      <c r="BT46" s="1142">
        <f>'Recycling - Case 2'!CA116</f>
        <v>24.482482614495005</v>
      </c>
      <c r="BU46" s="1102">
        <f>'Recycling - Case 3'!BV116</f>
        <v>75.016350094586969</v>
      </c>
      <c r="BV46" s="417">
        <f>'Recycling - Case 3'!BW116</f>
        <v>0.77447188721182603</v>
      </c>
      <c r="BW46" s="1142">
        <f>'Recycling - Case 3'!BX116</f>
        <v>24.482482614495005</v>
      </c>
      <c r="BX46" s="1101">
        <f>'Recycling - Case 3'!BY116</f>
        <v>75.016350094586969</v>
      </c>
      <c r="BY46" s="417">
        <f>'Recycling - Case 3'!BZ116</f>
        <v>0.77447188721182603</v>
      </c>
      <c r="BZ46" s="1142">
        <f>'Recycling - Case 3'!CA116</f>
        <v>24.482482614495005</v>
      </c>
      <c r="CA46" s="596">
        <v>2036</v>
      </c>
      <c r="CB46" s="649">
        <f>'Recycling - Case 1'!CB116</f>
        <v>0.32580167937132221</v>
      </c>
      <c r="CC46" s="417">
        <f>'Recycling - Case 1'!CC116</f>
        <v>0.33633596727222892</v>
      </c>
      <c r="CD46" s="417">
        <f>'Recycling - Case 1'!CD116</f>
        <v>0.32580167937132221</v>
      </c>
      <c r="CE46" s="525">
        <f>'Recycling - Case 1'!CE116</f>
        <v>0.33633596727222892</v>
      </c>
      <c r="CF46" s="649">
        <f>'Recycling - Case 2'!CB116</f>
        <v>0.34642074566368197</v>
      </c>
      <c r="CG46" s="417">
        <f>'Recycling - Case 2'!CC116</f>
        <v>0.41993685193758523</v>
      </c>
      <c r="CH46" s="417">
        <f>'Recycling - Case 2'!CD116</f>
        <v>0.34642074566368197</v>
      </c>
      <c r="CI46" s="525">
        <f>'Recycling - Case 2'!CE116</f>
        <v>0.41993685193758523</v>
      </c>
      <c r="CJ46" s="649">
        <f>'Recycling - Case 3'!CB116</f>
        <v>0.34642074566368197</v>
      </c>
      <c r="CK46" s="417">
        <f>'Recycling - Case 3'!CC116</f>
        <v>0.41993685193758523</v>
      </c>
      <c r="CL46" s="417">
        <f>'Recycling - Case 3'!CD116</f>
        <v>0.34642074566368197</v>
      </c>
      <c r="CM46" s="525">
        <f>'Recycling - Case 3'!CE116</f>
        <v>0.41993685193758523</v>
      </c>
    </row>
    <row r="47" spans="1:91">
      <c r="A47" s="4">
        <f>'Input data'!A136</f>
        <v>2036</v>
      </c>
      <c r="B47" s="4"/>
      <c r="C47" s="769">
        <f>'4A SWD Case 1'!BG106</f>
        <v>463.65708236062284</v>
      </c>
      <c r="D47" s="3">
        <f>'4B Biological treatment '!T100</f>
        <v>0.83438526278980896</v>
      </c>
      <c r="E47" s="1157">
        <f>'4B Biological treatment '!U100</f>
        <v>37.5473368255414</v>
      </c>
      <c r="F47" s="1157">
        <f>'4B Biological treatment '!W100</f>
        <v>2.2528402095324838</v>
      </c>
      <c r="G47" s="952">
        <f>'4C2 Open-burning '!R107</f>
        <v>15.533146621710603</v>
      </c>
      <c r="H47" s="952">
        <f>'4C2 Open-burning '!Z107</f>
        <v>5.2264282851344142</v>
      </c>
      <c r="I47" s="952">
        <f>'4C2 Open-burning '!AH107</f>
        <v>7.2760702958996254E-2</v>
      </c>
      <c r="J47" s="987">
        <f>'4D Wastewater treatment and dis'!AV144</f>
        <v>195.92571354716031</v>
      </c>
      <c r="K47" s="770">
        <f>'4D Wastewater treatment and dis'!AW144</f>
        <v>3.4953521017314642</v>
      </c>
      <c r="L47" s="771">
        <f t="shared" si="69"/>
        <v>9736.79872957308</v>
      </c>
      <c r="M47" s="772">
        <f t="shared" si="70"/>
        <v>17.522090518585987</v>
      </c>
      <c r="N47" s="771">
        <f t="shared" si="71"/>
        <v>1486.8745382914394</v>
      </c>
      <c r="O47" s="773">
        <f t="shared" si="72"/>
        <v>147.84395852682215</v>
      </c>
      <c r="P47" s="771">
        <f t="shared" si="73"/>
        <v>5197.9991360271206</v>
      </c>
      <c r="Q47" s="519">
        <f t="shared" si="74"/>
        <v>9736.79872957308</v>
      </c>
      <c r="R47" s="521">
        <f t="shared" si="75"/>
        <v>1504.3966288100255</v>
      </c>
      <c r="S47" s="518">
        <f t="shared" si="76"/>
        <v>147.84395852682215</v>
      </c>
      <c r="T47" s="519">
        <f t="shared" si="77"/>
        <v>5197.9991360271206</v>
      </c>
      <c r="U47" s="519">
        <f t="shared" si="78"/>
        <v>16587.038452937049</v>
      </c>
      <c r="V47" s="3"/>
      <c r="W47" s="596">
        <f t="shared" si="79"/>
        <v>2037</v>
      </c>
      <c r="X47" s="1101">
        <f t="shared" si="80"/>
        <v>9444.2709620035221</v>
      </c>
      <c r="Y47" s="1102">
        <f t="shared" si="81"/>
        <v>1519.248984754754</v>
      </c>
      <c r="Z47" s="1102">
        <f t="shared" si="82"/>
        <v>144.25651033931339</v>
      </c>
      <c r="AA47" s="1102">
        <f t="shared" si="83"/>
        <v>5275.0924855187541</v>
      </c>
      <c r="AB47" s="1142">
        <f t="shared" si="22"/>
        <v>16382.868942616344</v>
      </c>
      <c r="AC47" s="1423" t="str">
        <f>IF(OR('Recycling - Case 1'!AC117="No",'Recycling - Case 1'!T157="No"), "No", "Yes")</f>
        <v>Yes</v>
      </c>
      <c r="AD47" s="1101">
        <f t="shared" si="84"/>
        <v>9444.2709620035221</v>
      </c>
      <c r="AE47" s="1102">
        <f t="shared" si="85"/>
        <v>1519.248984754754</v>
      </c>
      <c r="AF47" s="1102">
        <f t="shared" si="86"/>
        <v>144.25651033931339</v>
      </c>
      <c r="AG47" s="1102">
        <f t="shared" si="87"/>
        <v>5275.0924855187541</v>
      </c>
      <c r="AH47" s="1142">
        <f t="shared" si="60"/>
        <v>16382.868942616344</v>
      </c>
      <c r="AI47" s="1423" t="str">
        <f>IF(OR('Recycling - Case 1'!AI28="No",'Recycling - Case 1'!Z157="No"), "No", "Yes")</f>
        <v>Yes</v>
      </c>
      <c r="AJ47" s="1101">
        <f t="shared" si="88"/>
        <v>8622.9361202379278</v>
      </c>
      <c r="AK47" s="1102">
        <f t="shared" si="89"/>
        <v>1519.248984754754</v>
      </c>
      <c r="AL47" s="1102">
        <f t="shared" si="90"/>
        <v>97.11930396370947</v>
      </c>
      <c r="AM47" s="1102">
        <f t="shared" si="91"/>
        <v>5782.5862858160108</v>
      </c>
      <c r="AN47" s="1142">
        <f t="shared" si="92"/>
        <v>16021.890694772401</v>
      </c>
      <c r="AO47" s="1416" t="str">
        <f>IF(OR('Recycling - Case 2'!AC117="No",'Recycling - Case 2'!T157="No"), "No", "Yes")</f>
        <v>Yes</v>
      </c>
      <c r="AP47" s="1101">
        <f t="shared" si="93"/>
        <v>8622.9361202379278</v>
      </c>
      <c r="AQ47" s="1102">
        <f t="shared" si="94"/>
        <v>1519.248984754754</v>
      </c>
      <c r="AR47" s="1102">
        <f t="shared" si="95"/>
        <v>97.11930396370947</v>
      </c>
      <c r="AS47" s="1102">
        <f t="shared" si="96"/>
        <v>5782.5862858160108</v>
      </c>
      <c r="AT47" s="1142">
        <f t="shared" si="37"/>
        <v>16021.890694772401</v>
      </c>
      <c r="AU47" s="1423" t="str">
        <f>IF(OR('Recycling - Case 2'!AC117="No",'Recycling - Case 2'!T197="No"), "No", "Yes")</f>
        <v>Yes</v>
      </c>
      <c r="AV47" s="1101">
        <f t="shared" si="63"/>
        <v>8623.9694322671185</v>
      </c>
      <c r="AW47" s="1102">
        <f t="shared" si="64"/>
        <v>922.67201237185554</v>
      </c>
      <c r="AX47" s="1102">
        <f t="shared" si="65"/>
        <v>97.11930396370947</v>
      </c>
      <c r="AY47" s="1102">
        <f t="shared" si="66"/>
        <v>5782.5862858160108</v>
      </c>
      <c r="AZ47" s="1142">
        <f t="shared" si="67"/>
        <v>15426.347034418694</v>
      </c>
      <c r="BA47" s="1423" t="str">
        <f>IF(OR('Recycling - Case 3'!AC117="No",'Recycling - Case 3'!T157="No"), "No", "Yes")</f>
        <v>Yes</v>
      </c>
      <c r="BB47" s="1101">
        <f t="shared" si="97"/>
        <v>8623.9694322671185</v>
      </c>
      <c r="BC47" s="1102">
        <f t="shared" si="98"/>
        <v>922.67201237185554</v>
      </c>
      <c r="BD47" s="1102">
        <f t="shared" si="99"/>
        <v>97.11930396370947</v>
      </c>
      <c r="BE47" s="1102">
        <f t="shared" si="100"/>
        <v>5782.5862858160108</v>
      </c>
      <c r="BF47" s="1142">
        <f t="shared" si="47"/>
        <v>15426.347034418694</v>
      </c>
      <c r="BG47" s="1423" t="str">
        <f>IF(OR('Recycling - Case 3'!AC117="No",'Recycling - Case 3'!T197="No"), "No", "Yes")</f>
        <v>Yes</v>
      </c>
      <c r="BH47" s="596">
        <f t="shared" si="48"/>
        <v>2037</v>
      </c>
      <c r="BI47" s="1102">
        <f>'Recycling - Case 1'!BV117</f>
        <v>83.005097732884224</v>
      </c>
      <c r="BJ47" s="417">
        <f>'Recycling - Case 1'!BW117</f>
        <v>0.63183477186118775</v>
      </c>
      <c r="BK47" s="1142">
        <f>'Recycling - Case 1'!BX117</f>
        <v>21.483552958759038</v>
      </c>
      <c r="BL47" s="1101">
        <f>'Recycling - Case 1'!BY117</f>
        <v>83.005097732884224</v>
      </c>
      <c r="BM47" s="417">
        <f>'Recycling - Case 1'!BZ117</f>
        <v>0.63183477186118775</v>
      </c>
      <c r="BN47" s="1142">
        <f>'Recycling - Case 1'!CA117</f>
        <v>21.483552958759038</v>
      </c>
      <c r="BO47" s="1102">
        <f>'Recycling - Case 2'!BV117</f>
        <v>73.855032983271357</v>
      </c>
      <c r="BP47" s="417">
        <f>'Recycling - Case 2'!BW117</f>
        <v>0.78448661759422023</v>
      </c>
      <c r="BQ47" s="1142">
        <f>'Recycling - Case 2'!BX117</f>
        <v>21.483552958759038</v>
      </c>
      <c r="BR47" s="1101">
        <f>'Recycling - Case 2'!BY117</f>
        <v>73.855032983271357</v>
      </c>
      <c r="BS47" s="417">
        <f>'Recycling - Case 2'!BZ117</f>
        <v>0.78448661759422023</v>
      </c>
      <c r="BT47" s="1142">
        <f>'Recycling - Case 2'!CA117</f>
        <v>21.483552958759038</v>
      </c>
      <c r="BU47" s="1102">
        <f>'Recycling - Case 3'!BV117</f>
        <v>73.855032983271357</v>
      </c>
      <c r="BV47" s="417">
        <f>'Recycling - Case 3'!BW117</f>
        <v>0.78448661759422023</v>
      </c>
      <c r="BW47" s="1142">
        <f>'Recycling - Case 3'!BX117</f>
        <v>21.483552958759038</v>
      </c>
      <c r="BX47" s="1101">
        <f>'Recycling - Case 3'!BY117</f>
        <v>73.855032983271357</v>
      </c>
      <c r="BY47" s="417">
        <f>'Recycling - Case 3'!BZ117</f>
        <v>0.78448661759422023</v>
      </c>
      <c r="BZ47" s="1142">
        <f>'Recycling - Case 3'!CA117</f>
        <v>21.483552958759038</v>
      </c>
      <c r="CA47" s="596">
        <v>2037</v>
      </c>
      <c r="CB47" s="649">
        <f>'Recycling - Case 1'!CB117</f>
        <v>0.33280193124638935</v>
      </c>
      <c r="CC47" s="417">
        <f>'Recycling - Case 1'!CC117</f>
        <v>0.33757869913395289</v>
      </c>
      <c r="CD47" s="417">
        <f>'Recycling - Case 1'!CD117</f>
        <v>0.33280193124638935</v>
      </c>
      <c r="CE47" s="525">
        <f>'Recycling - Case 1'!CE117</f>
        <v>0.33757869913395289</v>
      </c>
      <c r="CF47" s="649">
        <f>'Recycling - Case 2'!CB117</f>
        <v>0.34885304461912336</v>
      </c>
      <c r="CG47" s="417">
        <f>'Recycling - Case 2'!CC117</f>
        <v>0.42844425019755206</v>
      </c>
      <c r="CH47" s="417">
        <f>'Recycling - Case 2'!CD117</f>
        <v>0.34885304461912336</v>
      </c>
      <c r="CI47" s="525">
        <f>'Recycling - Case 2'!CE117</f>
        <v>0.42844425019755206</v>
      </c>
      <c r="CJ47" s="649">
        <f>'Recycling - Case 3'!CB117</f>
        <v>0.34885304461912336</v>
      </c>
      <c r="CK47" s="417">
        <f>'Recycling - Case 3'!CC117</f>
        <v>0.42844425019755206</v>
      </c>
      <c r="CL47" s="417">
        <f>'Recycling - Case 3'!CD117</f>
        <v>0.34885304461912336</v>
      </c>
      <c r="CM47" s="525">
        <f>'Recycling - Case 3'!CE117</f>
        <v>0.42844425019755206</v>
      </c>
    </row>
    <row r="48" spans="1:91">
      <c r="A48" s="4">
        <f>'Input data'!A137</f>
        <v>2037</v>
      </c>
      <c r="B48" s="4"/>
      <c r="C48" s="769">
        <f>'4A SWD Case 1'!BG107</f>
        <v>449.72718866683437</v>
      </c>
      <c r="D48" s="3">
        <f>'4B Biological treatment '!T101</f>
        <v>0.84262284234872664</v>
      </c>
      <c r="E48" s="1157">
        <f>'4B Biological treatment '!U101</f>
        <v>37.918027905692696</v>
      </c>
      <c r="F48" s="1157">
        <f>'4B Biological treatment '!W101</f>
        <v>2.2750816743415618</v>
      </c>
      <c r="G48" s="952">
        <f>'4C2 Open-burning '!R108</f>
        <v>15.156233291943034</v>
      </c>
      <c r="H48" s="952">
        <f>'4C2 Open-burning '!Z108</f>
        <v>5.0996084890096478</v>
      </c>
      <c r="I48" s="952">
        <f>'4C2 Open-burning '!AH108</f>
        <v>7.0995157348928195E-2</v>
      </c>
      <c r="J48" s="987">
        <f>'4D Wastewater treatment and dis'!AV145</f>
        <v>199.21906799623179</v>
      </c>
      <c r="K48" s="770">
        <f>'4D Wastewater treatment and dis'!AW145</f>
        <v>3.5209421212835057</v>
      </c>
      <c r="L48" s="771">
        <f t="shared" si="69"/>
        <v>9444.2709620035221</v>
      </c>
      <c r="M48" s="772">
        <f t="shared" si="70"/>
        <v>17.695079689323258</v>
      </c>
      <c r="N48" s="771">
        <f t="shared" si="71"/>
        <v>1501.5539050654309</v>
      </c>
      <c r="O48" s="773">
        <f t="shared" si="72"/>
        <v>144.25651033931339</v>
      </c>
      <c r="P48" s="771">
        <f t="shared" si="73"/>
        <v>5275.0924855187541</v>
      </c>
      <c r="Q48" s="519">
        <f t="shared" si="74"/>
        <v>9444.2709620035221</v>
      </c>
      <c r="R48" s="521">
        <f t="shared" si="75"/>
        <v>1519.248984754754</v>
      </c>
      <c r="S48" s="518">
        <f t="shared" si="76"/>
        <v>144.25651033931339</v>
      </c>
      <c r="T48" s="519">
        <f t="shared" si="77"/>
        <v>5275.0924855187541</v>
      </c>
      <c r="U48" s="519">
        <f t="shared" si="78"/>
        <v>16382.868942616344</v>
      </c>
      <c r="V48" s="3"/>
      <c r="W48" s="596">
        <f t="shared" si="79"/>
        <v>2038</v>
      </c>
      <c r="X48" s="1101">
        <f t="shared" si="80"/>
        <v>9172.2955288856774</v>
      </c>
      <c r="Y48" s="1102">
        <f t="shared" si="81"/>
        <v>1533.6618611559461</v>
      </c>
      <c r="Z48" s="1102">
        <f t="shared" si="82"/>
        <v>137.79108332877814</v>
      </c>
      <c r="AA48" s="1102">
        <f t="shared" si="83"/>
        <v>5353.0360506752186</v>
      </c>
      <c r="AB48" s="1142">
        <f t="shared" si="22"/>
        <v>16196.784524045621</v>
      </c>
      <c r="AC48" s="1423" t="str">
        <f>IF(OR('Recycling - Case 1'!AC118="No",'Recycling - Case 1'!T158="No"), "No", "Yes")</f>
        <v>Yes</v>
      </c>
      <c r="AD48" s="1101">
        <f t="shared" si="84"/>
        <v>9172.2955288856774</v>
      </c>
      <c r="AE48" s="1102">
        <f t="shared" si="85"/>
        <v>1533.6618611559461</v>
      </c>
      <c r="AF48" s="1102">
        <f t="shared" si="86"/>
        <v>137.79108332877814</v>
      </c>
      <c r="AG48" s="1102">
        <f t="shared" si="87"/>
        <v>5353.0360506752186</v>
      </c>
      <c r="AH48" s="1142">
        <f t="shared" si="60"/>
        <v>16196.784524045621</v>
      </c>
      <c r="AI48" s="1423" t="str">
        <f>IF(OR('Recycling - Case 1'!AI29="No",'Recycling - Case 1'!Z158="No"), "No", "Yes")</f>
        <v>Yes</v>
      </c>
      <c r="AJ48" s="1101">
        <f t="shared" si="88"/>
        <v>8303.4520685094867</v>
      </c>
      <c r="AK48" s="1102">
        <f t="shared" si="89"/>
        <v>1533.6618611559461</v>
      </c>
      <c r="AL48" s="1102">
        <f t="shared" si="90"/>
        <v>96.88486093946301</v>
      </c>
      <c r="AM48" s="1102">
        <f t="shared" si="91"/>
        <v>5824.9215046462123</v>
      </c>
      <c r="AN48" s="1142">
        <f t="shared" si="92"/>
        <v>15758.920295251108</v>
      </c>
      <c r="AO48" s="1416" t="str">
        <f>IF(OR('Recycling - Case 2'!AC118="No",'Recycling - Case 2'!T158="No"), "No", "Yes")</f>
        <v>Yes</v>
      </c>
      <c r="AP48" s="1101">
        <f t="shared" si="93"/>
        <v>8303.4520685094867</v>
      </c>
      <c r="AQ48" s="1102">
        <f t="shared" si="94"/>
        <v>1533.6618611559461</v>
      </c>
      <c r="AR48" s="1102">
        <f t="shared" si="95"/>
        <v>96.88486093946301</v>
      </c>
      <c r="AS48" s="1102">
        <f t="shared" si="96"/>
        <v>5824.9215046462123</v>
      </c>
      <c r="AT48" s="1142">
        <f t="shared" si="37"/>
        <v>15758.920295251108</v>
      </c>
      <c r="AU48" s="1423" t="str">
        <f>IF(OR('Recycling - Case 2'!AC118="No",'Recycling - Case 2'!T198="No"), "No", "Yes")</f>
        <v>Yes</v>
      </c>
      <c r="AV48" s="1101">
        <f t="shared" si="63"/>
        <v>8304.5450044802838</v>
      </c>
      <c r="AW48" s="1102">
        <f t="shared" si="64"/>
        <v>931.42525677524179</v>
      </c>
      <c r="AX48" s="1102">
        <f t="shared" si="65"/>
        <v>96.88486093946301</v>
      </c>
      <c r="AY48" s="1102">
        <f t="shared" si="66"/>
        <v>5824.9215046462123</v>
      </c>
      <c r="AZ48" s="1142">
        <f t="shared" si="67"/>
        <v>15157.7766268412</v>
      </c>
      <c r="BA48" s="1423" t="str">
        <f>IF(OR('Recycling - Case 3'!AC118="No",'Recycling - Case 3'!T158="No"), "No", "Yes")</f>
        <v>Yes</v>
      </c>
      <c r="BB48" s="1101">
        <f t="shared" si="97"/>
        <v>8304.5450044802838</v>
      </c>
      <c r="BC48" s="1102">
        <f t="shared" si="98"/>
        <v>931.42525677524179</v>
      </c>
      <c r="BD48" s="1102">
        <f t="shared" si="99"/>
        <v>96.88486093946301</v>
      </c>
      <c r="BE48" s="1102">
        <f t="shared" si="100"/>
        <v>5824.9215046462123</v>
      </c>
      <c r="BF48" s="1142">
        <f t="shared" si="47"/>
        <v>15157.7766268412</v>
      </c>
      <c r="BG48" s="1423" t="str">
        <f>IF(OR('Recycling - Case 3'!AC118="No",'Recycling - Case 3'!T198="No"), "No", "Yes")</f>
        <v>Yes</v>
      </c>
      <c r="BH48" s="596">
        <f t="shared" si="48"/>
        <v>2038</v>
      </c>
      <c r="BI48" s="1102">
        <f>'Recycling - Case 1'!BV118</f>
        <v>82.321340690225284</v>
      </c>
      <c r="BJ48" s="417">
        <f>'Recycling - Case 1'!BW118</f>
        <v>0.64215449406282188</v>
      </c>
      <c r="BK48" s="1142">
        <f>'Recycling - Case 1'!BX118</f>
        <v>18.854877897592289</v>
      </c>
      <c r="BL48" s="1101">
        <f>'Recycling - Case 1'!BY118</f>
        <v>82.321340690225284</v>
      </c>
      <c r="BM48" s="417">
        <f>'Recycling - Case 1'!BZ118</f>
        <v>0.64215449406282188</v>
      </c>
      <c r="BN48" s="1142">
        <f>'Recycling - Case 1'!CA118</f>
        <v>18.854877897592289</v>
      </c>
      <c r="BO48" s="1102">
        <f>'Recycling - Case 2'!BV118</f>
        <v>73.815174395731944</v>
      </c>
      <c r="BP48" s="417">
        <f>'Recycling - Case 2'!BW118</f>
        <v>0.78437024505850728</v>
      </c>
      <c r="BQ48" s="1142">
        <f>'Recycling - Case 2'!BX118</f>
        <v>18.854877897592289</v>
      </c>
      <c r="BR48" s="1101">
        <f>'Recycling - Case 2'!BY118</f>
        <v>73.815174395731944</v>
      </c>
      <c r="BS48" s="417">
        <f>'Recycling - Case 2'!BZ118</f>
        <v>0.78437024505850728</v>
      </c>
      <c r="BT48" s="1142">
        <f>'Recycling - Case 2'!CA118</f>
        <v>18.854877897592289</v>
      </c>
      <c r="BU48" s="1102">
        <f>'Recycling - Case 3'!BV118</f>
        <v>73.815174395731944</v>
      </c>
      <c r="BV48" s="417">
        <f>'Recycling - Case 3'!BW118</f>
        <v>0.78437024505850728</v>
      </c>
      <c r="BW48" s="1142">
        <f>'Recycling - Case 3'!BX118</f>
        <v>18.854877897592289</v>
      </c>
      <c r="BX48" s="1101">
        <f>'Recycling - Case 3'!BY118</f>
        <v>73.815174395731944</v>
      </c>
      <c r="BY48" s="417">
        <f>'Recycling - Case 3'!BZ118</f>
        <v>0.78437024505850728</v>
      </c>
      <c r="BZ48" s="1142">
        <f>'Recycling - Case 3'!CA118</f>
        <v>18.854877897592289</v>
      </c>
      <c r="CA48" s="596">
        <v>2038</v>
      </c>
      <c r="CB48" s="649">
        <f>'Recycling - Case 1'!CB118</f>
        <v>0.3432238595609628</v>
      </c>
      <c r="CC48" s="417">
        <f>'Recycling - Case 1'!CC118</f>
        <v>0.34011321417457729</v>
      </c>
      <c r="CD48" s="417">
        <f>'Recycling - Case 1'!CD118</f>
        <v>0.3432238595609628</v>
      </c>
      <c r="CE48" s="525">
        <f>'Recycling - Case 1'!CE118</f>
        <v>0.34011321417457729</v>
      </c>
      <c r="CF48" s="649">
        <f>'Recycling - Case 2'!CB118</f>
        <v>0.35126626747362921</v>
      </c>
      <c r="CG48" s="417">
        <f>'Recycling - Case 2'!CC118</f>
        <v>0.42708137761511178</v>
      </c>
      <c r="CH48" s="417">
        <f>'Recycling - Case 2'!CD118</f>
        <v>0.35126626747362921</v>
      </c>
      <c r="CI48" s="525">
        <f>'Recycling - Case 2'!CE118</f>
        <v>0.42708137761511178</v>
      </c>
      <c r="CJ48" s="649">
        <f>'Recycling - Case 3'!CB118</f>
        <v>0.35126626747362921</v>
      </c>
      <c r="CK48" s="417">
        <f>'Recycling - Case 3'!CC118</f>
        <v>0.42708137761511178</v>
      </c>
      <c r="CL48" s="417">
        <f>'Recycling - Case 3'!CD118</f>
        <v>0.35126626747362921</v>
      </c>
      <c r="CM48" s="525">
        <f>'Recycling - Case 3'!CE118</f>
        <v>0.42708137761511178</v>
      </c>
    </row>
    <row r="49" spans="1:91">
      <c r="A49" s="4">
        <f>'Input data'!A138</f>
        <v>2038</v>
      </c>
      <c r="B49" s="4"/>
      <c r="C49" s="769">
        <f>'4A SWD Case 1'!BG108</f>
        <v>436.77597756598465</v>
      </c>
      <c r="D49" s="3">
        <f>'4B Biological treatment '!T102</f>
        <v>0.85061667285410225</v>
      </c>
      <c r="E49" s="1157">
        <f>'4B Biological treatment '!U102</f>
        <v>38.277750278434596</v>
      </c>
      <c r="F49" s="1157">
        <f>'4B Biological treatment '!W102</f>
        <v>2.2966650167060756</v>
      </c>
      <c r="G49" s="952">
        <f>'4C2 Open-burning '!R109</f>
        <v>14.476946652655759</v>
      </c>
      <c r="H49" s="952">
        <f>'4C2 Open-burning '!Z109</f>
        <v>4.8710493315030332</v>
      </c>
      <c r="I49" s="952">
        <f>'4C2 Open-burning '!AH109</f>
        <v>6.7813228111479648E-2</v>
      </c>
      <c r="J49" s="987">
        <f>'4D Wastewater treatment and dis'!AV146</f>
        <v>202.55014328428078</v>
      </c>
      <c r="K49" s="770">
        <f>'4D Wastewater treatment and dis'!AW146</f>
        <v>3.5467194893720086</v>
      </c>
      <c r="L49" s="771">
        <f t="shared" si="69"/>
        <v>9172.2955288856774</v>
      </c>
      <c r="M49" s="772">
        <f t="shared" si="70"/>
        <v>17.862950129936149</v>
      </c>
      <c r="N49" s="771">
        <f t="shared" si="71"/>
        <v>1515.79891102601</v>
      </c>
      <c r="O49" s="773">
        <f t="shared" si="72"/>
        <v>137.79108332877814</v>
      </c>
      <c r="P49" s="771">
        <f t="shared" si="73"/>
        <v>5353.0360506752186</v>
      </c>
      <c r="Q49" s="519">
        <f t="shared" si="74"/>
        <v>9172.2955288856774</v>
      </c>
      <c r="R49" s="521">
        <f t="shared" si="75"/>
        <v>1533.6618611559461</v>
      </c>
      <c r="S49" s="518">
        <f t="shared" si="76"/>
        <v>137.79108332877814</v>
      </c>
      <c r="T49" s="519">
        <f t="shared" si="77"/>
        <v>5353.0360506752186</v>
      </c>
      <c r="U49" s="519">
        <f t="shared" si="78"/>
        <v>16196.784524045621</v>
      </c>
      <c r="V49" s="3"/>
      <c r="W49" s="596">
        <f t="shared" si="79"/>
        <v>2039</v>
      </c>
      <c r="X49" s="1101">
        <f t="shared" si="80"/>
        <v>8915.9816177917237</v>
      </c>
      <c r="Y49" s="1102">
        <f t="shared" si="81"/>
        <v>1548.38777635819</v>
      </c>
      <c r="Z49" s="1102">
        <f t="shared" si="82"/>
        <v>131.35405873525082</v>
      </c>
      <c r="AA49" s="1102">
        <f t="shared" si="83"/>
        <v>5431.8381484682886</v>
      </c>
      <c r="AB49" s="1142">
        <f t="shared" si="22"/>
        <v>16027.561601353453</v>
      </c>
      <c r="AC49" s="1423" t="str">
        <f>IF(OR('Recycling - Case 1'!AC119="No",'Recycling - Case 1'!T159="No"), "No", "Yes")</f>
        <v>Yes</v>
      </c>
      <c r="AD49" s="1101">
        <f t="shared" si="84"/>
        <v>8915.9816177917237</v>
      </c>
      <c r="AE49" s="1102">
        <f t="shared" si="85"/>
        <v>1548.38777635819</v>
      </c>
      <c r="AF49" s="1102">
        <f t="shared" si="86"/>
        <v>131.35405873525082</v>
      </c>
      <c r="AG49" s="1102">
        <f t="shared" si="87"/>
        <v>5431.8381484682886</v>
      </c>
      <c r="AH49" s="1142">
        <f t="shared" si="60"/>
        <v>16027.561601353453</v>
      </c>
      <c r="AI49" s="1423" t="str">
        <f>IF(OR('Recycling - Case 1'!AI30="No",'Recycling - Case 1'!Z159="No"), "No", "Yes")</f>
        <v>Yes</v>
      </c>
      <c r="AJ49" s="1101">
        <f t="shared" si="88"/>
        <v>8008.046636228486</v>
      </c>
      <c r="AK49" s="1102">
        <f t="shared" si="89"/>
        <v>1548.38777635819</v>
      </c>
      <c r="AL49" s="1102">
        <f t="shared" si="90"/>
        <v>96.653238724891821</v>
      </c>
      <c r="AM49" s="1102">
        <f t="shared" si="91"/>
        <v>5867.5666662364183</v>
      </c>
      <c r="AN49" s="1142">
        <f t="shared" si="92"/>
        <v>15520.654317547986</v>
      </c>
      <c r="AO49" s="1416" t="str">
        <f>IF(OR('Recycling - Case 2'!AC119="No",'Recycling - Case 2'!T159="No"), "No", "Yes")</f>
        <v>Yes</v>
      </c>
      <c r="AP49" s="1101">
        <f t="shared" si="93"/>
        <v>8008.046636228486</v>
      </c>
      <c r="AQ49" s="1102">
        <f t="shared" si="94"/>
        <v>1548.38777635819</v>
      </c>
      <c r="AR49" s="1102">
        <f t="shared" si="95"/>
        <v>96.653238724891821</v>
      </c>
      <c r="AS49" s="1102">
        <f t="shared" si="96"/>
        <v>5867.5666662364183</v>
      </c>
      <c r="AT49" s="1142">
        <f t="shared" si="37"/>
        <v>15520.654317547986</v>
      </c>
      <c r="AU49" s="1423" t="str">
        <f>IF(OR('Recycling - Case 2'!AC119="No",'Recycling - Case 2'!T199="No"), "No", "Yes")</f>
        <v>Yes</v>
      </c>
      <c r="AV49" s="1101">
        <f t="shared" si="63"/>
        <v>8009.1966009826183</v>
      </c>
      <c r="AW49" s="1102">
        <f t="shared" si="64"/>
        <v>940.36861625746985</v>
      </c>
      <c r="AX49" s="1102">
        <f t="shared" si="65"/>
        <v>96.653238724891821</v>
      </c>
      <c r="AY49" s="1102">
        <f t="shared" si="66"/>
        <v>5867.5666662364183</v>
      </c>
      <c r="AZ49" s="1142">
        <f t="shared" si="67"/>
        <v>14913.785122201398</v>
      </c>
      <c r="BA49" s="1423" t="str">
        <f>IF(OR('Recycling - Case 3'!AC119="No",'Recycling - Case 3'!T159="No"), "No", "Yes")</f>
        <v>Yes</v>
      </c>
      <c r="BB49" s="1101">
        <f t="shared" si="97"/>
        <v>8009.1966009826183</v>
      </c>
      <c r="BC49" s="1102">
        <f t="shared" si="98"/>
        <v>940.36861625746985</v>
      </c>
      <c r="BD49" s="1102">
        <f t="shared" si="99"/>
        <v>96.653238724891821</v>
      </c>
      <c r="BE49" s="1102">
        <f t="shared" si="100"/>
        <v>5867.5666662364183</v>
      </c>
      <c r="BF49" s="1142">
        <f t="shared" si="47"/>
        <v>14913.785122201398</v>
      </c>
      <c r="BG49" s="1423" t="str">
        <f>IF(OR('Recycling - Case 3'!AC119="No",'Recycling - Case 3'!T199="No"), "No", "Yes")</f>
        <v>Yes</v>
      </c>
      <c r="BH49" s="596">
        <f t="shared" si="48"/>
        <v>2039</v>
      </c>
      <c r="BI49" s="1102">
        <f>'Recycling - Case 1'!BV119</f>
        <v>81.691474787050097</v>
      </c>
      <c r="BJ49" s="417">
        <f>'Recycling - Case 1'!BW119</f>
        <v>0.65247557244495846</v>
      </c>
      <c r="BK49" s="1142">
        <f>'Recycling - Case 1'!BX119</f>
        <v>16.226202836425532</v>
      </c>
      <c r="BL49" s="1101">
        <f>'Recycling - Case 1'!BY119</f>
        <v>81.691474787050097</v>
      </c>
      <c r="BM49" s="417">
        <f>'Recycling - Case 1'!BZ119</f>
        <v>0.65247557244495846</v>
      </c>
      <c r="BN49" s="1142">
        <f>'Recycling - Case 1'!CA119</f>
        <v>16.226202836425532</v>
      </c>
      <c r="BO49" s="1102">
        <f>'Recycling - Case 2'!BV119</f>
        <v>73.796331939100853</v>
      </c>
      <c r="BP49" s="417">
        <f>'Recycling - Case 2'!BW119</f>
        <v>0.78431518819864565</v>
      </c>
      <c r="BQ49" s="1142">
        <f>'Recycling - Case 2'!BX119</f>
        <v>16.226202836425532</v>
      </c>
      <c r="BR49" s="1101">
        <f>'Recycling - Case 2'!BY119</f>
        <v>73.796331939100853</v>
      </c>
      <c r="BS49" s="417">
        <f>'Recycling - Case 2'!BZ119</f>
        <v>0.78431518819864565</v>
      </c>
      <c r="BT49" s="1142">
        <f>'Recycling - Case 2'!CA119</f>
        <v>16.226202836425532</v>
      </c>
      <c r="BU49" s="1102">
        <f>'Recycling - Case 3'!BV119</f>
        <v>73.796331939100853</v>
      </c>
      <c r="BV49" s="417">
        <f>'Recycling - Case 3'!BW119</f>
        <v>0.78431518819864565</v>
      </c>
      <c r="BW49" s="1142">
        <f>'Recycling - Case 3'!BX119</f>
        <v>16.226202836425532</v>
      </c>
      <c r="BX49" s="1101">
        <f>'Recycling - Case 3'!BY119</f>
        <v>73.796331939100853</v>
      </c>
      <c r="BY49" s="417">
        <f>'Recycling - Case 3'!BZ119</f>
        <v>0.78431518819864565</v>
      </c>
      <c r="BZ49" s="1142">
        <f>'Recycling - Case 3'!CA119</f>
        <v>16.226202836425532</v>
      </c>
      <c r="CA49" s="596">
        <v>2039</v>
      </c>
      <c r="CB49" s="649">
        <f>'Recycling - Case 1'!CB119</f>
        <v>0.35350649570399229</v>
      </c>
      <c r="CC49" s="417">
        <f>'Recycling - Case 1'!CC119</f>
        <v>0.34244163927860161</v>
      </c>
      <c r="CD49" s="417">
        <f>'Recycling - Case 1'!CD119</f>
        <v>0.35350649570399229</v>
      </c>
      <c r="CE49" s="525">
        <f>'Recycling - Case 1'!CE119</f>
        <v>0.34244163927860161</v>
      </c>
      <c r="CF49" s="649">
        <f>'Recycling - Case 2'!CB119</f>
        <v>0.35366058307858594</v>
      </c>
      <c r="CG49" s="417">
        <f>'Recycling - Case 2'!CC119</f>
        <v>0.42578160420669942</v>
      </c>
      <c r="CH49" s="417">
        <f>'Recycling - Case 2'!CD119</f>
        <v>0.35366058307858594</v>
      </c>
      <c r="CI49" s="525">
        <f>'Recycling - Case 2'!CE119</f>
        <v>0.42578160420669942</v>
      </c>
      <c r="CJ49" s="649">
        <f>'Recycling - Case 3'!CB119</f>
        <v>0.35366058307858594</v>
      </c>
      <c r="CK49" s="417">
        <f>'Recycling - Case 3'!CC119</f>
        <v>0.42578160420669942</v>
      </c>
      <c r="CL49" s="417">
        <f>'Recycling - Case 3'!CD119</f>
        <v>0.35366058307858594</v>
      </c>
      <c r="CM49" s="525">
        <f>'Recycling - Case 3'!CE119</f>
        <v>0.42578160420669942</v>
      </c>
    </row>
    <row r="50" spans="1:91">
      <c r="A50" s="4">
        <f>'Input data'!A139</f>
        <v>2039</v>
      </c>
      <c r="B50" s="4"/>
      <c r="C50" s="769">
        <f>'4A SWD Case 1'!BG109</f>
        <v>424.57055322817729</v>
      </c>
      <c r="D50" s="3">
        <f>'4B Biological treatment '!T103</f>
        <v>0.85878412443604557</v>
      </c>
      <c r="E50" s="1157">
        <f>'4B Biological treatment '!U103</f>
        <v>38.645285599622042</v>
      </c>
      <c r="F50" s="1157">
        <f>'4B Biological treatment '!W103</f>
        <v>2.3187171359773227</v>
      </c>
      <c r="G50" s="952">
        <f>'4C2 Open-burning '!R110</f>
        <v>13.800644098157552</v>
      </c>
      <c r="H50" s="952">
        <f>'4C2 Open-burning '!Z110</f>
        <v>4.6434942271690707</v>
      </c>
      <c r="I50" s="952">
        <f>'4C2 Open-burning '!AH110</f>
        <v>6.46452769888477E-2</v>
      </c>
      <c r="J50" s="987">
        <f>'4D Wastewater treatment and dis'!AV147</f>
        <v>205.91931521003639</v>
      </c>
      <c r="K50" s="770">
        <f>'4D Wastewater treatment and dis'!AW147</f>
        <v>3.5726855776049167</v>
      </c>
      <c r="L50" s="771">
        <f t="shared" si="69"/>
        <v>8915.9816177917237</v>
      </c>
      <c r="M50" s="772">
        <f t="shared" si="70"/>
        <v>18.034466613156958</v>
      </c>
      <c r="N50" s="771">
        <f t="shared" si="71"/>
        <v>1530.3533097450329</v>
      </c>
      <c r="O50" s="773">
        <f t="shared" si="72"/>
        <v>131.35405873525082</v>
      </c>
      <c r="P50" s="771">
        <f t="shared" si="73"/>
        <v>5431.8381484682886</v>
      </c>
      <c r="Q50" s="519">
        <f t="shared" si="74"/>
        <v>8915.9816177917237</v>
      </c>
      <c r="R50" s="521">
        <f t="shared" si="75"/>
        <v>1548.38777635819</v>
      </c>
      <c r="S50" s="518">
        <f t="shared" si="76"/>
        <v>131.35405873525082</v>
      </c>
      <c r="T50" s="519">
        <f t="shared" si="77"/>
        <v>5431.8381484682886</v>
      </c>
      <c r="U50" s="519">
        <f t="shared" si="78"/>
        <v>16027.561601353453</v>
      </c>
      <c r="V50" s="3"/>
      <c r="W50" s="596">
        <f t="shared" si="79"/>
        <v>2040</v>
      </c>
      <c r="X50" s="1101">
        <f t="shared" si="80"/>
        <v>8674.7366150228972</v>
      </c>
      <c r="Y50" s="1102">
        <f t="shared" si="81"/>
        <v>1563.2995762336625</v>
      </c>
      <c r="Z50" s="1102">
        <f t="shared" si="82"/>
        <v>124.94496389699975</v>
      </c>
      <c r="AA50" s="1102">
        <f t="shared" si="83"/>
        <v>5511.507172078449</v>
      </c>
      <c r="AB50" s="1142">
        <f t="shared" si="22"/>
        <v>15874.488327232009</v>
      </c>
      <c r="AC50" s="1423" t="str">
        <f>IF(OR('Recycling - Case 1'!AC120="No",'Recycling - Case 1'!T160="No"), "No", "Yes")</f>
        <v>Yes</v>
      </c>
      <c r="AD50" s="1101">
        <f t="shared" si="84"/>
        <v>8674.7366150228972</v>
      </c>
      <c r="AE50" s="1102">
        <f t="shared" si="85"/>
        <v>1563.2995762336625</v>
      </c>
      <c r="AF50" s="1102">
        <f t="shared" si="86"/>
        <v>124.94496389699975</v>
      </c>
      <c r="AG50" s="1102">
        <f t="shared" si="87"/>
        <v>5511.507172078449</v>
      </c>
      <c r="AH50" s="1142">
        <f t="shared" si="60"/>
        <v>15874.488327232009</v>
      </c>
      <c r="AI50" s="1423" t="str">
        <f>IF(OR('Recycling - Case 1'!AI31="No",'Recycling - Case 1'!Z160="No"), "No", "Yes")</f>
        <v>Yes</v>
      </c>
      <c r="AJ50" s="1101">
        <f t="shared" si="88"/>
        <v>7735.6913783993896</v>
      </c>
      <c r="AK50" s="1102">
        <f t="shared" si="89"/>
        <v>1563.2995762336625</v>
      </c>
      <c r="AL50" s="1102">
        <f t="shared" si="90"/>
        <v>96.424392766634725</v>
      </c>
      <c r="AM50" s="1102">
        <f t="shared" si="91"/>
        <v>5910.5240397260632</v>
      </c>
      <c r="AN50" s="1142">
        <f t="shared" si="92"/>
        <v>15305.939387125749</v>
      </c>
      <c r="AO50" s="1416" t="str">
        <f>IF(OR('Recycling - Case 2'!AC120="No",'Recycling - Case 2'!T160="No"), "No", "Yes")</f>
        <v>Yes</v>
      </c>
      <c r="AP50" s="1101">
        <f t="shared" si="93"/>
        <v>7735.6913783993896</v>
      </c>
      <c r="AQ50" s="1102">
        <f t="shared" si="94"/>
        <v>1563.2995762336625</v>
      </c>
      <c r="AR50" s="1102">
        <f t="shared" si="95"/>
        <v>96.424392766634725</v>
      </c>
      <c r="AS50" s="1102">
        <f t="shared" si="96"/>
        <v>5910.5240397260632</v>
      </c>
      <c r="AT50" s="1142">
        <f t="shared" si="37"/>
        <v>15305.939387125749</v>
      </c>
      <c r="AU50" s="1423" t="str">
        <f>IF(OR('Recycling - Case 2'!AC120="No",'Recycling - Case 2'!T200="No"), "No", "Yes")</f>
        <v>Yes</v>
      </c>
      <c r="AV50" s="1101">
        <f t="shared" si="63"/>
        <v>7736.8959343300048</v>
      </c>
      <c r="AW50" s="1102">
        <f t="shared" si="64"/>
        <v>949.42486742976178</v>
      </c>
      <c r="AX50" s="1102">
        <f t="shared" si="65"/>
        <v>96.424392766634725</v>
      </c>
      <c r="AY50" s="1102">
        <f t="shared" si="66"/>
        <v>5910.5240397260632</v>
      </c>
      <c r="AZ50" s="1142">
        <f t="shared" si="67"/>
        <v>14693.269234252464</v>
      </c>
      <c r="BA50" s="1423" t="str">
        <f>IF(OR('Recycling - Case 3'!AC120="No",'Recycling - Case 3'!T160="No"), "No", "Yes")</f>
        <v>Yes</v>
      </c>
      <c r="BB50" s="1101">
        <f t="shared" si="97"/>
        <v>7736.8959343300048</v>
      </c>
      <c r="BC50" s="1102">
        <f t="shared" si="98"/>
        <v>949.42486742976178</v>
      </c>
      <c r="BD50" s="1102">
        <f t="shared" si="99"/>
        <v>96.424392766634725</v>
      </c>
      <c r="BE50" s="1102">
        <f t="shared" si="100"/>
        <v>5910.5240397260632</v>
      </c>
      <c r="BF50" s="1142">
        <f t="shared" si="47"/>
        <v>14693.269234252464</v>
      </c>
      <c r="BG50" s="1423" t="str">
        <f>IF(OR('Recycling - Case 3'!AC120="No",'Recycling - Case 3'!T200="No"), "No", "Yes")</f>
        <v>Yes</v>
      </c>
      <c r="BH50" s="596">
        <f t="shared" si="48"/>
        <v>2040</v>
      </c>
      <c r="BI50" s="1102">
        <f>'Recycling - Case 1'!BV120</f>
        <v>81.106038032240903</v>
      </c>
      <c r="BJ50" s="417">
        <f>'Recycling - Case 1'!BW120</f>
        <v>0.66275226620254524</v>
      </c>
      <c r="BK50" s="1142">
        <f>'Recycling - Case 1'!BX120</f>
        <v>13.597527775258772</v>
      </c>
      <c r="BL50" s="1101">
        <f>'Recycling - Case 1'!BY120</f>
        <v>81.106038032240903</v>
      </c>
      <c r="BM50" s="417">
        <f>'Recycling - Case 1'!BZ120</f>
        <v>0.66275226620254524</v>
      </c>
      <c r="BN50" s="1142">
        <f>'Recycling - Case 1'!CA120</f>
        <v>13.597527775258772</v>
      </c>
      <c r="BO50" s="1102">
        <f>'Recycling - Case 2'!BV120</f>
        <v>73.790194967974287</v>
      </c>
      <c r="BP50" s="417">
        <f>'Recycling - Case 2'!BW120</f>
        <v>0.78429725015873353</v>
      </c>
      <c r="BQ50" s="1142">
        <f>'Recycling - Case 2'!BX120</f>
        <v>13.597527775258772</v>
      </c>
      <c r="BR50" s="1101">
        <f>'Recycling - Case 2'!BY120</f>
        <v>73.790194967974287</v>
      </c>
      <c r="BS50" s="417">
        <f>'Recycling - Case 2'!BZ120</f>
        <v>0.78429725015873353</v>
      </c>
      <c r="BT50" s="1142">
        <f>'Recycling - Case 2'!CA120</f>
        <v>13.597527775258772</v>
      </c>
      <c r="BU50" s="1102">
        <f>'Recycling - Case 3'!BV120</f>
        <v>73.790194967974287</v>
      </c>
      <c r="BV50" s="417">
        <f>'Recycling - Case 3'!BW120</f>
        <v>0.78429725015873353</v>
      </c>
      <c r="BW50" s="1142">
        <f>'Recycling - Case 3'!BX120</f>
        <v>13.597527775258772</v>
      </c>
      <c r="BX50" s="1101">
        <f>'Recycling - Case 3'!BY120</f>
        <v>73.790194967974287</v>
      </c>
      <c r="BY50" s="417">
        <f>'Recycling - Case 3'!BZ120</f>
        <v>0.78429725015873353</v>
      </c>
      <c r="BZ50" s="1142">
        <f>'Recycling - Case 3'!CA120</f>
        <v>13.597527775258772</v>
      </c>
      <c r="CA50" s="596">
        <v>2040</v>
      </c>
      <c r="CB50" s="649">
        <f>'Recycling - Case 1'!CB120</f>
        <v>0.36365151761921655</v>
      </c>
      <c r="CC50" s="417">
        <f>'Recycling - Case 1'!CC120</f>
        <v>0.34452274928452731</v>
      </c>
      <c r="CD50" s="417">
        <f>'Recycling - Case 1'!CD120</f>
        <v>0.36365151761921655</v>
      </c>
      <c r="CE50" s="525">
        <f>'Recycling - Case 1'!CE120</f>
        <v>0.34452274928452731</v>
      </c>
      <c r="CF50" s="649">
        <f>'Recycling - Case 2'!CB120</f>
        <v>0.3560361583119136</v>
      </c>
      <c r="CG50" s="417">
        <f>'Recycling - Case 2'!CC120</f>
        <v>0.42451679099375317</v>
      </c>
      <c r="CH50" s="417">
        <f>'Recycling - Case 2'!CD120</f>
        <v>0.3560361583119136</v>
      </c>
      <c r="CI50" s="525">
        <f>'Recycling - Case 2'!CE120</f>
        <v>0.42451679099375317</v>
      </c>
      <c r="CJ50" s="649">
        <f>'Recycling - Case 3'!CB120</f>
        <v>0.3560361583119136</v>
      </c>
      <c r="CK50" s="417">
        <f>'Recycling - Case 3'!CC120</f>
        <v>0.42451679099375317</v>
      </c>
      <c r="CL50" s="417">
        <f>'Recycling - Case 3'!CD120</f>
        <v>0.3560361583119136</v>
      </c>
      <c r="CM50" s="525">
        <f>'Recycling - Case 3'!CE120</f>
        <v>0.42451679099375317</v>
      </c>
    </row>
    <row r="51" spans="1:91">
      <c r="A51" s="4">
        <f>'Input data'!A140</f>
        <v>2040</v>
      </c>
      <c r="B51" s="4"/>
      <c r="C51" s="769">
        <f>'4A SWD Case 1'!BG110</f>
        <v>413.08269595347127</v>
      </c>
      <c r="D51" s="3">
        <f>'4B Biological treatment '!T104</f>
        <v>0.86705467345183718</v>
      </c>
      <c r="E51" s="1157">
        <f>'4B Biological treatment '!U104</f>
        <v>39.017460305332669</v>
      </c>
      <c r="F51" s="1157">
        <f>'4B Biological treatment '!W104</f>
        <v>2.3410476183199602</v>
      </c>
      <c r="G51" s="952">
        <f>'4C2 Open-burning '!R111</f>
        <v>13.127275968495754</v>
      </c>
      <c r="H51" s="952">
        <f>'4C2 Open-burning '!Z111</f>
        <v>4.4169264669540507</v>
      </c>
      <c r="I51" s="952">
        <f>'4C2 Open-burning '!AH111</f>
        <v>6.1491071362803011E-2</v>
      </c>
      <c r="J51" s="987">
        <f>'4D Wastewater treatment and dis'!AV148</f>
        <v>209.32696305297864</v>
      </c>
      <c r="K51" s="770">
        <f>'4D Wastewater treatment and dis'!AW148</f>
        <v>3.5988417676319293</v>
      </c>
      <c r="L51" s="771">
        <f t="shared" si="69"/>
        <v>8674.7366150228972</v>
      </c>
      <c r="M51" s="772">
        <f t="shared" si="70"/>
        <v>18.208148142488582</v>
      </c>
      <c r="N51" s="771">
        <f t="shared" si="71"/>
        <v>1545.0914280911738</v>
      </c>
      <c r="O51" s="773">
        <f t="shared" si="72"/>
        <v>124.94496389699975</v>
      </c>
      <c r="P51" s="771">
        <f t="shared" si="73"/>
        <v>5511.507172078449</v>
      </c>
      <c r="Q51" s="519">
        <f t="shared" si="74"/>
        <v>8674.7366150228972</v>
      </c>
      <c r="R51" s="521">
        <f t="shared" si="75"/>
        <v>1563.2995762336625</v>
      </c>
      <c r="S51" s="518">
        <f t="shared" si="76"/>
        <v>124.94496389699975</v>
      </c>
      <c r="T51" s="519">
        <f t="shared" si="77"/>
        <v>5511.507172078449</v>
      </c>
      <c r="U51" s="519">
        <f t="shared" si="78"/>
        <v>15874.488327232009</v>
      </c>
      <c r="V51" s="3"/>
      <c r="W51" s="596">
        <f t="shared" si="79"/>
        <v>2041</v>
      </c>
      <c r="X51" s="1101">
        <f t="shared" si="80"/>
        <v>8447.9847513060668</v>
      </c>
      <c r="Y51" s="1102">
        <f t="shared" si="81"/>
        <v>1579.7579583132253</v>
      </c>
      <c r="Z51" s="1102">
        <f t="shared" si="82"/>
        <v>118.59896220497515</v>
      </c>
      <c r="AA51" s="1102">
        <f t="shared" si="83"/>
        <v>5585.8882679954158</v>
      </c>
      <c r="AB51" s="1142">
        <f t="shared" si="22"/>
        <v>15732.229939819681</v>
      </c>
      <c r="AC51" s="1423" t="str">
        <f>IF(OR('Recycling - Case 1'!AC121="No",'Recycling - Case 1'!T161="No"), "No", "Yes")</f>
        <v>Yes</v>
      </c>
      <c r="AD51" s="1101">
        <f t="shared" si="84"/>
        <v>8447.9847513060668</v>
      </c>
      <c r="AE51" s="1102">
        <f t="shared" si="85"/>
        <v>1579.7579583132253</v>
      </c>
      <c r="AF51" s="1102">
        <f t="shared" si="86"/>
        <v>118.59896220497515</v>
      </c>
      <c r="AG51" s="1102">
        <f t="shared" si="87"/>
        <v>5585.8882679954158</v>
      </c>
      <c r="AH51" s="1142">
        <f t="shared" si="60"/>
        <v>15732.229939819681</v>
      </c>
      <c r="AI51" s="1423" t="str">
        <f>IF(OR('Recycling - Case 1'!AI32="No",'Recycling - Case 1'!Z161="No"), "No", "Yes")</f>
        <v>Yes</v>
      </c>
      <c r="AJ51" s="1101">
        <f t="shared" si="88"/>
        <v>7485.3977378459658</v>
      </c>
      <c r="AK51" s="1102">
        <f t="shared" si="89"/>
        <v>1579.7579583132253</v>
      </c>
      <c r="AL51" s="1102">
        <f t="shared" si="90"/>
        <v>96.232289152450377</v>
      </c>
      <c r="AM51" s="1102">
        <f t="shared" si="91"/>
        <v>5947.2338879558556</v>
      </c>
      <c r="AN51" s="1142">
        <f t="shared" si="92"/>
        <v>15108.621873267497</v>
      </c>
      <c r="AO51" s="1416" t="str">
        <f>IF(OR('Recycling - Case 2'!AC121="No",'Recycling - Case 2'!T161="No"), "No", "Yes")</f>
        <v>Yes</v>
      </c>
      <c r="AP51" s="1101">
        <f t="shared" si="93"/>
        <v>7485.3977378459658</v>
      </c>
      <c r="AQ51" s="1102">
        <f t="shared" si="94"/>
        <v>1579.7579583132253</v>
      </c>
      <c r="AR51" s="1102">
        <f t="shared" si="95"/>
        <v>96.232289152450377</v>
      </c>
      <c r="AS51" s="1102">
        <f t="shared" si="96"/>
        <v>5947.2338879558556</v>
      </c>
      <c r="AT51" s="1142">
        <f t="shared" si="37"/>
        <v>15108.621873267497</v>
      </c>
      <c r="AU51" s="1423" t="str">
        <f>IF(OR('Recycling - Case 2'!AC121="No",'Recycling - Case 2'!T201="No"), "No", "Yes")</f>
        <v>Yes</v>
      </c>
      <c r="AV51" s="1101">
        <f t="shared" si="63"/>
        <v>7486.6545957695607</v>
      </c>
      <c r="AW51" s="1102">
        <f t="shared" si="64"/>
        <v>959.42039065611857</v>
      </c>
      <c r="AX51" s="1102">
        <f t="shared" si="65"/>
        <v>96.232289152450349</v>
      </c>
      <c r="AY51" s="1102">
        <f t="shared" si="66"/>
        <v>5947.2338879558556</v>
      </c>
      <c r="AZ51" s="1142">
        <f t="shared" si="67"/>
        <v>14489.541163533986</v>
      </c>
      <c r="BA51" s="1423" t="str">
        <f>IF(OR('Recycling - Case 3'!AC121="No",'Recycling - Case 3'!T161="No"), "No", "Yes")</f>
        <v>Yes</v>
      </c>
      <c r="BB51" s="1101">
        <f t="shared" si="97"/>
        <v>7486.6545957695607</v>
      </c>
      <c r="BC51" s="1102">
        <f t="shared" si="98"/>
        <v>959.42039065611857</v>
      </c>
      <c r="BD51" s="1102">
        <f t="shared" si="99"/>
        <v>96.232289152450349</v>
      </c>
      <c r="BE51" s="1102">
        <f t="shared" si="100"/>
        <v>5947.2338879558556</v>
      </c>
      <c r="BF51" s="1142">
        <f t="shared" si="47"/>
        <v>14489.541163533986</v>
      </c>
      <c r="BG51" s="1423" t="str">
        <f>IF(OR('Recycling - Case 3'!AC121="No",'Recycling - Case 3'!T201="No"), "No", "Yes")</f>
        <v>Yes</v>
      </c>
      <c r="BH51" s="596">
        <f t="shared" si="48"/>
        <v>2041</v>
      </c>
      <c r="BI51" s="1102">
        <f>'Recycling - Case 1'!BV121</f>
        <v>80.212893275553853</v>
      </c>
      <c r="BJ51" s="417">
        <f>'Recycling - Case 1'!BW121</f>
        <v>0.67733382693345867</v>
      </c>
      <c r="BK51" s="1142">
        <f>'Recycling - Case 1'!BX121</f>
        <v>11.135124826855309</v>
      </c>
      <c r="BL51" s="1101">
        <f>'Recycling - Case 1'!BY121</f>
        <v>80.212893275553853</v>
      </c>
      <c r="BM51" s="417">
        <f>'Recycling - Case 1'!BZ121</f>
        <v>0.67733382693345867</v>
      </c>
      <c r="BN51" s="1142">
        <f>'Recycling - Case 1'!CA121</f>
        <v>11.135124826855309</v>
      </c>
      <c r="BO51" s="1102">
        <f>'Recycling - Case 2'!BV121</f>
        <v>73.941496439318925</v>
      </c>
      <c r="BP51" s="417">
        <f>'Recycling - Case 2'!BW121</f>
        <v>0.784738628072296</v>
      </c>
      <c r="BQ51" s="1142">
        <f>'Recycling - Case 2'!BX121</f>
        <v>11.135124826855309</v>
      </c>
      <c r="BR51" s="1101">
        <f>'Recycling - Case 2'!BY121</f>
        <v>73.941496439318925</v>
      </c>
      <c r="BS51" s="417">
        <f>'Recycling - Case 2'!BZ121</f>
        <v>0.784738628072296</v>
      </c>
      <c r="BT51" s="1142">
        <f>'Recycling - Case 2'!CA121</f>
        <v>11.135124826855309</v>
      </c>
      <c r="BU51" s="1102">
        <f>'Recycling - Case 3'!BV121</f>
        <v>73.941496439318925</v>
      </c>
      <c r="BV51" s="417">
        <f>'Recycling - Case 3'!BW121</f>
        <v>0.784738628072296</v>
      </c>
      <c r="BW51" s="1142">
        <f>'Recycling - Case 3'!BX121</f>
        <v>11.135124826855309</v>
      </c>
      <c r="BX51" s="1101">
        <f>'Recycling - Case 3'!BY121</f>
        <v>73.941496439318925</v>
      </c>
      <c r="BY51" s="417">
        <f>'Recycling - Case 3'!BZ121</f>
        <v>0.784738628072296</v>
      </c>
      <c r="BZ51" s="1142">
        <f>'Recycling - Case 3'!CA121</f>
        <v>11.135124826855309</v>
      </c>
      <c r="CA51" s="596">
        <v>2041</v>
      </c>
      <c r="CB51" s="649">
        <f>'Recycling - Case 1'!CB121</f>
        <v>0.37326134680596657</v>
      </c>
      <c r="CC51" s="417">
        <f>'Recycling - Case 1'!CC121</f>
        <v>0.35258477735772231</v>
      </c>
      <c r="CD51" s="417">
        <f>'Recycling - Case 1'!CD121</f>
        <v>0.37326134680596657</v>
      </c>
      <c r="CE51" s="525">
        <f>'Recycling - Case 1'!CE121</f>
        <v>0.35258477735772231</v>
      </c>
      <c r="CF51" s="649">
        <f>'Recycling - Case 2'!CB121</f>
        <v>0.35803801704304605</v>
      </c>
      <c r="CG51" s="417">
        <f>'Recycling - Case 2'!CC121</f>
        <v>0.42393257563141884</v>
      </c>
      <c r="CH51" s="417">
        <f>'Recycling - Case 2'!CD121</f>
        <v>0.35803801704304605</v>
      </c>
      <c r="CI51" s="525">
        <f>'Recycling - Case 2'!CE121</f>
        <v>0.42393257563141884</v>
      </c>
      <c r="CJ51" s="649">
        <f>'Recycling - Case 3'!CB121</f>
        <v>0.35803801704304605</v>
      </c>
      <c r="CK51" s="417">
        <f>'Recycling - Case 3'!CC121</f>
        <v>0.42393257563141884</v>
      </c>
      <c r="CL51" s="417">
        <f>'Recycling - Case 3'!CD121</f>
        <v>0.35803801704304605</v>
      </c>
      <c r="CM51" s="525">
        <f>'Recycling - Case 3'!CE121</f>
        <v>0.42393257563141884</v>
      </c>
    </row>
    <row r="52" spans="1:91">
      <c r="A52" s="4">
        <f>'Input data'!A141</f>
        <v>2041</v>
      </c>
      <c r="B52" s="4"/>
      <c r="C52" s="769">
        <f>'4A SWD Case 1'!BG111</f>
        <v>402.28498815743177</v>
      </c>
      <c r="D52" s="3">
        <f>'4B Biological treatment '!T105</f>
        <v>0.87618300516540526</v>
      </c>
      <c r="E52" s="1157">
        <f>'4B Biological treatment '!U105</f>
        <v>39.428235232443228</v>
      </c>
      <c r="F52" s="1157">
        <f>'4B Biological treatment '!W105</f>
        <v>2.3656941139465939</v>
      </c>
      <c r="G52" s="952">
        <f>'4C2 Open-burning '!R112</f>
        <v>12.46053668657942</v>
      </c>
      <c r="H52" s="952">
        <f>'4C2 Open-burning '!Z112</f>
        <v>4.1925891110607356</v>
      </c>
      <c r="I52" s="952">
        <f>'4C2 Open-burning '!AH112</f>
        <v>5.836791672942028E-2</v>
      </c>
      <c r="J52" s="987">
        <f>'4D Wastewater treatment and dis'!AV149</f>
        <v>212.53895965397319</v>
      </c>
      <c r="K52" s="770">
        <f>'4D Wastewater treatment and dis'!AW149</f>
        <v>3.6211939201999317</v>
      </c>
      <c r="L52" s="771">
        <f t="shared" si="69"/>
        <v>8447.9847513060668</v>
      </c>
      <c r="M52" s="772">
        <f t="shared" si="70"/>
        <v>18.399843108473512</v>
      </c>
      <c r="N52" s="771">
        <f t="shared" si="71"/>
        <v>1561.3581152047518</v>
      </c>
      <c r="O52" s="773">
        <f t="shared" si="72"/>
        <v>118.59896220497515</v>
      </c>
      <c r="P52" s="771">
        <f t="shared" si="73"/>
        <v>5585.8882679954158</v>
      </c>
      <c r="Q52" s="519">
        <f t="shared" si="74"/>
        <v>8447.9847513060668</v>
      </c>
      <c r="R52" s="521">
        <f t="shared" si="75"/>
        <v>1579.7579583132253</v>
      </c>
      <c r="S52" s="518">
        <f t="shared" si="76"/>
        <v>118.59896220497515</v>
      </c>
      <c r="T52" s="519">
        <f t="shared" si="77"/>
        <v>5585.8882679954158</v>
      </c>
      <c r="U52" s="519">
        <f t="shared" si="78"/>
        <v>15732.229939819681</v>
      </c>
      <c r="V52" s="3"/>
      <c r="W52" s="596">
        <f t="shared" si="79"/>
        <v>2042</v>
      </c>
      <c r="X52" s="1101">
        <f t="shared" si="80"/>
        <v>8231.9757005015126</v>
      </c>
      <c r="Y52" s="1102">
        <f t="shared" si="81"/>
        <v>1594.9370068512669</v>
      </c>
      <c r="Z52" s="1102">
        <f t="shared" si="82"/>
        <v>112.27558743164121</v>
      </c>
      <c r="AA52" s="1102">
        <f t="shared" si="83"/>
        <v>5660.9807054541461</v>
      </c>
      <c r="AB52" s="1142">
        <f t="shared" si="22"/>
        <v>15600.169000238566</v>
      </c>
      <c r="AC52" s="1423" t="str">
        <f>IF(OR('Recycling - Case 1'!AC122="No",'Recycling - Case 1'!T162="No"), "No", "Yes")</f>
        <v>Yes</v>
      </c>
      <c r="AD52" s="1101">
        <f t="shared" si="84"/>
        <v>8231.9757005015126</v>
      </c>
      <c r="AE52" s="1102">
        <f t="shared" si="85"/>
        <v>1594.9370068512669</v>
      </c>
      <c r="AF52" s="1102">
        <f t="shared" si="86"/>
        <v>112.27558743164121</v>
      </c>
      <c r="AG52" s="1102">
        <f t="shared" si="87"/>
        <v>5660.9807054541461</v>
      </c>
      <c r="AH52" s="1142">
        <f t="shared" si="60"/>
        <v>15600.169000238566</v>
      </c>
      <c r="AI52" s="1423" t="str">
        <f>IF(OR('Recycling - Case 1'!AI33="No",'Recycling - Case 1'!Z162="No"), "No", "Yes")</f>
        <v>Yes</v>
      </c>
      <c r="AJ52" s="1101">
        <f t="shared" si="88"/>
        <v>7255.6702919838917</v>
      </c>
      <c r="AK52" s="1102">
        <f t="shared" si="89"/>
        <v>1594.9370068512669</v>
      </c>
      <c r="AL52" s="1102">
        <f t="shared" si="90"/>
        <v>96.042128189602451</v>
      </c>
      <c r="AM52" s="1102">
        <f t="shared" si="91"/>
        <v>5984.171738465644</v>
      </c>
      <c r="AN52" s="1142">
        <f t="shared" si="92"/>
        <v>14930.821165490406</v>
      </c>
      <c r="AO52" s="1416" t="str">
        <f>IF(OR('Recycling - Case 2'!AC122="No",'Recycling - Case 2'!T162="No"), "No", "Yes")</f>
        <v>Yes</v>
      </c>
      <c r="AP52" s="1101">
        <f t="shared" si="93"/>
        <v>7255.6702919838917</v>
      </c>
      <c r="AQ52" s="1102">
        <f t="shared" si="94"/>
        <v>1594.9370068512669</v>
      </c>
      <c r="AR52" s="1102">
        <f t="shared" si="95"/>
        <v>96.042128189602451</v>
      </c>
      <c r="AS52" s="1102">
        <f t="shared" si="96"/>
        <v>5984.171738465644</v>
      </c>
      <c r="AT52" s="1142">
        <f t="shared" si="37"/>
        <v>14930.821165490406</v>
      </c>
      <c r="AU52" s="1423" t="str">
        <f>IF(OR('Recycling - Case 2'!AC122="No",'Recycling - Case 2'!T202="No"), "No", "Yes")</f>
        <v>Yes</v>
      </c>
      <c r="AV52" s="1101">
        <f t="shared" si="63"/>
        <v>7256.9771665970184</v>
      </c>
      <c r="AW52" s="1102">
        <f t="shared" si="64"/>
        <v>968.63894758853985</v>
      </c>
      <c r="AX52" s="1102">
        <f t="shared" si="65"/>
        <v>96.042128189602451</v>
      </c>
      <c r="AY52" s="1102">
        <f t="shared" si="66"/>
        <v>5984.171738465644</v>
      </c>
      <c r="AZ52" s="1142">
        <f t="shared" si="67"/>
        <v>14305.829980840806</v>
      </c>
      <c r="BA52" s="1423" t="str">
        <f>IF(OR('Recycling - Case 3'!AC122="No",'Recycling - Case 3'!T162="No"), "No", "Yes")</f>
        <v>Yes</v>
      </c>
      <c r="BB52" s="1101">
        <f t="shared" si="97"/>
        <v>7256.9771665970184</v>
      </c>
      <c r="BC52" s="1102">
        <f t="shared" si="98"/>
        <v>968.63894758853985</v>
      </c>
      <c r="BD52" s="1102">
        <f t="shared" si="99"/>
        <v>96.042128189602451</v>
      </c>
      <c r="BE52" s="1102">
        <f t="shared" si="100"/>
        <v>5984.171738465644</v>
      </c>
      <c r="BF52" s="1142">
        <f t="shared" si="47"/>
        <v>14305.829980840806</v>
      </c>
      <c r="BG52" s="1423" t="str">
        <f>IF(OR('Recycling - Case 3'!AC122="No",'Recycling - Case 3'!T202="No"), "No", "Yes")</f>
        <v>Yes</v>
      </c>
      <c r="BH52" s="596">
        <f t="shared" si="48"/>
        <v>2042</v>
      </c>
      <c r="BI52" s="1102">
        <f>'Recycling - Case 1'!BV122</f>
        <v>79.307575830017925</v>
      </c>
      <c r="BJ52" s="417">
        <f>'Recycling - Case 1'!BW122</f>
        <v>0.69130188394546743</v>
      </c>
      <c r="BK52" s="1142">
        <f>'Recycling - Case 1'!BX122</f>
        <v>8.6727218784518421</v>
      </c>
      <c r="BL52" s="1101">
        <f>'Recycling - Case 1'!BY122</f>
        <v>79.307575830017925</v>
      </c>
      <c r="BM52" s="417">
        <f>'Recycling - Case 1'!BZ122</f>
        <v>0.69130188394546743</v>
      </c>
      <c r="BN52" s="1142">
        <f>'Recycling - Case 1'!CA122</f>
        <v>8.6727218784518421</v>
      </c>
      <c r="BO52" s="1102">
        <f>'Recycling - Case 2'!BV122</f>
        <v>74.009549575405472</v>
      </c>
      <c r="BP52" s="417">
        <f>'Recycling - Case 2'!BW122</f>
        <v>0.78493656484561802</v>
      </c>
      <c r="BQ52" s="1142">
        <f>'Recycling - Case 2'!BX122</f>
        <v>8.6727218784518421</v>
      </c>
      <c r="BR52" s="1101">
        <f>'Recycling - Case 2'!BY122</f>
        <v>74.009549575405472</v>
      </c>
      <c r="BS52" s="417">
        <f>'Recycling - Case 2'!BZ122</f>
        <v>0.78493656484561802</v>
      </c>
      <c r="BT52" s="1142">
        <f>'Recycling - Case 2'!CA122</f>
        <v>8.6727218784518421</v>
      </c>
      <c r="BU52" s="1102">
        <f>'Recycling - Case 3'!BV122</f>
        <v>74.009549575405472</v>
      </c>
      <c r="BV52" s="417">
        <f>'Recycling - Case 3'!BW122</f>
        <v>0.78493656484561802</v>
      </c>
      <c r="BW52" s="1142">
        <f>'Recycling - Case 3'!BX122</f>
        <v>8.6727218784518421</v>
      </c>
      <c r="BX52" s="1101">
        <f>'Recycling - Case 3'!BY122</f>
        <v>74.009549575405472</v>
      </c>
      <c r="BY52" s="417">
        <f>'Recycling - Case 3'!BZ122</f>
        <v>0.78493656484561802</v>
      </c>
      <c r="BZ52" s="1142">
        <f>'Recycling - Case 3'!CA122</f>
        <v>8.6727218784518421</v>
      </c>
      <c r="CA52" s="596">
        <v>2042</v>
      </c>
      <c r="CB52" s="649">
        <f>'Recycling - Case 1'!CB122</f>
        <v>0.38275965270757828</v>
      </c>
      <c r="CC52" s="417">
        <f>'Recycling - Case 1'!CC122</f>
        <v>0.35943959819017557</v>
      </c>
      <c r="CD52" s="417">
        <f>'Recycling - Case 1'!CD122</f>
        <v>0.38275965270757828</v>
      </c>
      <c r="CE52" s="525">
        <f>'Recycling - Case 1'!CE122</f>
        <v>0.35943959819017557</v>
      </c>
      <c r="CF52" s="649">
        <f>'Recycling - Case 2'!CB122</f>
        <v>0.36002659202487586</v>
      </c>
      <c r="CG52" s="417">
        <f>'Recycling - Case 2'!CC122</f>
        <v>0.42303586537028126</v>
      </c>
      <c r="CH52" s="417">
        <f>'Recycling - Case 2'!CD122</f>
        <v>0.36002659202487586</v>
      </c>
      <c r="CI52" s="525">
        <f>'Recycling - Case 2'!CE122</f>
        <v>0.42303586537028126</v>
      </c>
      <c r="CJ52" s="649">
        <f>'Recycling - Case 3'!CB122</f>
        <v>0.36002659202487586</v>
      </c>
      <c r="CK52" s="417">
        <f>'Recycling - Case 3'!CC122</f>
        <v>0.42303586537028126</v>
      </c>
      <c r="CL52" s="417">
        <f>'Recycling - Case 3'!CD122</f>
        <v>0.36002659202487586</v>
      </c>
      <c r="CM52" s="525">
        <f>'Recycling - Case 3'!CE122</f>
        <v>0.42303586537028126</v>
      </c>
    </row>
    <row r="53" spans="1:91">
      <c r="A53" s="4">
        <f>'Input data'!A142</f>
        <v>2042</v>
      </c>
      <c r="B53" s="4"/>
      <c r="C53" s="769">
        <f>'4A SWD Case 1'!BG112</f>
        <v>391.99884288102442</v>
      </c>
      <c r="D53" s="3">
        <f>'4B Biological treatment '!T106</f>
        <v>0.88460177861967115</v>
      </c>
      <c r="E53" s="1157">
        <f>'4B Biological treatment '!U106</f>
        <v>39.8070800378852</v>
      </c>
      <c r="F53" s="1157">
        <f>'4B Biological treatment '!W106</f>
        <v>2.3884248022731116</v>
      </c>
      <c r="G53" s="952">
        <f>'4C2 Open-burning '!R113</f>
        <v>11.796174689802916</v>
      </c>
      <c r="H53" s="952">
        <f>'4C2 Open-burning '!Z113</f>
        <v>3.9690516388355039</v>
      </c>
      <c r="I53" s="952">
        <f>'4C2 Open-burning '!AH113</f>
        <v>5.5255897826750736E-2</v>
      </c>
      <c r="J53" s="987">
        <f>'4D Wastewater treatment and dis'!AV150</f>
        <v>215.78278030125657</v>
      </c>
      <c r="K53" s="770">
        <f>'4D Wastewater treatment and dis'!AW150</f>
        <v>3.6436849004121257</v>
      </c>
      <c r="L53" s="771">
        <f t="shared" si="69"/>
        <v>8231.9757005015126</v>
      </c>
      <c r="M53" s="772">
        <f t="shared" si="70"/>
        <v>18.576637351013094</v>
      </c>
      <c r="N53" s="771">
        <f t="shared" si="71"/>
        <v>1576.3603695002539</v>
      </c>
      <c r="O53" s="773">
        <f t="shared" si="72"/>
        <v>112.27558743164121</v>
      </c>
      <c r="P53" s="771">
        <f t="shared" si="73"/>
        <v>5660.9807054541461</v>
      </c>
      <c r="Q53" s="519">
        <f t="shared" si="74"/>
        <v>8231.9757005015126</v>
      </c>
      <c r="R53" s="521">
        <f t="shared" si="75"/>
        <v>1594.9370068512669</v>
      </c>
      <c r="S53" s="518">
        <f t="shared" si="76"/>
        <v>112.27558743164121</v>
      </c>
      <c r="T53" s="519">
        <f t="shared" si="77"/>
        <v>5660.9807054541461</v>
      </c>
      <c r="U53" s="519">
        <f t="shared" si="78"/>
        <v>15600.169000238566</v>
      </c>
      <c r="V53" s="3"/>
      <c r="W53" s="596">
        <f t="shared" si="79"/>
        <v>2043</v>
      </c>
      <c r="X53" s="1101">
        <f t="shared" si="80"/>
        <v>8026.4525918063873</v>
      </c>
      <c r="Y53" s="1102">
        <f t="shared" si="81"/>
        <v>1610.1449270600401</v>
      </c>
      <c r="Z53" s="1102">
        <f t="shared" si="82"/>
        <v>105.9745212931887</v>
      </c>
      <c r="AA53" s="1102">
        <f t="shared" si="83"/>
        <v>5736.7904513402209</v>
      </c>
      <c r="AB53" s="1142">
        <f t="shared" si="22"/>
        <v>15479.362491499836</v>
      </c>
      <c r="AC53" s="1423" t="str">
        <f>IF(OR('Recycling - Case 1'!AC123="No",'Recycling - Case 1'!T163="No"), "No", "Yes")</f>
        <v>Yes</v>
      </c>
      <c r="AD53" s="1101">
        <f t="shared" si="84"/>
        <v>8026.4525918063873</v>
      </c>
      <c r="AE53" s="1102">
        <f t="shared" si="85"/>
        <v>1610.1449270600401</v>
      </c>
      <c r="AF53" s="1102">
        <f t="shared" si="86"/>
        <v>105.9745212931887</v>
      </c>
      <c r="AG53" s="1102">
        <f t="shared" si="87"/>
        <v>5736.7904513402209</v>
      </c>
      <c r="AH53" s="1142">
        <f t="shared" si="60"/>
        <v>15479.362491499836</v>
      </c>
      <c r="AI53" s="1423" t="str">
        <f>IF(OR('Recycling - Case 1'!AI34="No",'Recycling - Case 1'!Z163="No"), "No", "Yes")</f>
        <v>Yes</v>
      </c>
      <c r="AJ53" s="1101">
        <f t="shared" si="88"/>
        <v>7045.5918880688278</v>
      </c>
      <c r="AK53" s="1102">
        <f t="shared" si="89"/>
        <v>1610.1449270600401</v>
      </c>
      <c r="AL53" s="1102">
        <f t="shared" si="90"/>
        <v>95.853884148944275</v>
      </c>
      <c r="AM53" s="1102">
        <f t="shared" si="91"/>
        <v>6021.3390073615255</v>
      </c>
      <c r="AN53" s="1142">
        <f t="shared" si="92"/>
        <v>14772.929706639337</v>
      </c>
      <c r="AO53" s="1416" t="str">
        <f>IF(OR('Recycling - Case 2'!AC123="No",'Recycling - Case 2'!T163="No"), "No", "Yes")</f>
        <v>Yes</v>
      </c>
      <c r="AP53" s="1101">
        <f t="shared" si="93"/>
        <v>7045.5918880688278</v>
      </c>
      <c r="AQ53" s="1102">
        <f t="shared" si="94"/>
        <v>1610.1449270600401</v>
      </c>
      <c r="AR53" s="1102">
        <f t="shared" si="95"/>
        <v>95.853884148944275</v>
      </c>
      <c r="AS53" s="1102">
        <f t="shared" si="96"/>
        <v>6021.3390073615255</v>
      </c>
      <c r="AT53" s="1142">
        <f t="shared" si="37"/>
        <v>14772.929706639337</v>
      </c>
      <c r="AU53" s="1423" t="str">
        <f>IF(OR('Recycling - Case 2'!AC123="No",'Recycling - Case 2'!T203="No"), "No", "Yes")</f>
        <v>Yes</v>
      </c>
      <c r="AV53" s="1101">
        <f t="shared" si="63"/>
        <v>7046.9466318773348</v>
      </c>
      <c r="AW53" s="1102">
        <f t="shared" si="64"/>
        <v>977.87503889669665</v>
      </c>
      <c r="AX53" s="1102">
        <f t="shared" si="65"/>
        <v>95.853884148944275</v>
      </c>
      <c r="AY53" s="1102">
        <f t="shared" si="66"/>
        <v>6021.3390073615255</v>
      </c>
      <c r="AZ53" s="1142">
        <f t="shared" si="67"/>
        <v>14142.014562284501</v>
      </c>
      <c r="BA53" s="1423" t="str">
        <f>IF(OR('Recycling - Case 3'!AC123="No",'Recycling - Case 3'!T163="No"), "No", "Yes")</f>
        <v>Yes</v>
      </c>
      <c r="BB53" s="1101">
        <f t="shared" si="97"/>
        <v>7046.9466318773348</v>
      </c>
      <c r="BC53" s="1102">
        <f t="shared" si="98"/>
        <v>977.87503889669665</v>
      </c>
      <c r="BD53" s="1102">
        <f t="shared" si="99"/>
        <v>95.853884148944275</v>
      </c>
      <c r="BE53" s="1102">
        <f t="shared" si="100"/>
        <v>6021.3390073615255</v>
      </c>
      <c r="BF53" s="1142">
        <f t="shared" si="47"/>
        <v>14142.014562284501</v>
      </c>
      <c r="BG53" s="1423" t="str">
        <f>IF(OR('Recycling - Case 3'!AC123="No",'Recycling - Case 3'!T203="No"), "No", "Yes")</f>
        <v>Yes</v>
      </c>
      <c r="BH53" s="596">
        <f t="shared" si="48"/>
        <v>2043</v>
      </c>
      <c r="BI53" s="1102">
        <f>'Recycling - Case 1'!BV123</f>
        <v>78.471761212304571</v>
      </c>
      <c r="BJ53" s="417">
        <f>'Recycling - Case 1'!BW123</f>
        <v>0.70499831456786133</v>
      </c>
      <c r="BK53" s="1142">
        <f>'Recycling - Case 1'!BX123</f>
        <v>6.2103189300483761</v>
      </c>
      <c r="BL53" s="1101">
        <f>'Recycling - Case 1'!BY123</f>
        <v>78.471761212304571</v>
      </c>
      <c r="BM53" s="417">
        <f>'Recycling - Case 1'!BZ123</f>
        <v>0.70499831456786133</v>
      </c>
      <c r="BN53" s="1142">
        <f>'Recycling - Case 1'!CA123</f>
        <v>6.2103189300483761</v>
      </c>
      <c r="BO53" s="1102">
        <f>'Recycling - Case 2'!BV123</f>
        <v>74.079894480752344</v>
      </c>
      <c r="BP53" s="417">
        <f>'Recycling - Case 2'!BW123</f>
        <v>0.78514078512826757</v>
      </c>
      <c r="BQ53" s="1142">
        <f>'Recycling - Case 2'!BX123</f>
        <v>6.2103189300483761</v>
      </c>
      <c r="BR53" s="1101">
        <f>'Recycling - Case 2'!BY123</f>
        <v>74.079894480752344</v>
      </c>
      <c r="BS53" s="417">
        <f>'Recycling - Case 2'!BZ123</f>
        <v>0.78514078512826757</v>
      </c>
      <c r="BT53" s="1142">
        <f>'Recycling - Case 2'!CA123</f>
        <v>6.2103189300483761</v>
      </c>
      <c r="BU53" s="1102">
        <f>'Recycling - Case 3'!BV123</f>
        <v>74.079894480752344</v>
      </c>
      <c r="BV53" s="417">
        <f>'Recycling - Case 3'!BW123</f>
        <v>0.78514078512826757</v>
      </c>
      <c r="BW53" s="1142">
        <f>'Recycling - Case 3'!BX123</f>
        <v>6.2103189300483761</v>
      </c>
      <c r="BX53" s="1101">
        <f>'Recycling - Case 3'!BY123</f>
        <v>74.079894480752344</v>
      </c>
      <c r="BY53" s="417">
        <f>'Recycling - Case 3'!BZ123</f>
        <v>0.78514078512826757</v>
      </c>
      <c r="BZ53" s="1142">
        <f>'Recycling - Case 3'!CA123</f>
        <v>6.2103189300483761</v>
      </c>
      <c r="CA53" s="596">
        <v>2043</v>
      </c>
      <c r="CB53" s="649">
        <f>'Recycling - Case 1'!CB123</f>
        <v>0.39214758076794598</v>
      </c>
      <c r="CC53" s="417">
        <f>'Recycling - Case 1'!CC123</f>
        <v>0.36561096029373097</v>
      </c>
      <c r="CD53" s="417">
        <f>'Recycling - Case 1'!CD123</f>
        <v>0.39214758076794598</v>
      </c>
      <c r="CE53" s="525">
        <f>'Recycling - Case 1'!CE123</f>
        <v>0.36561096029373097</v>
      </c>
      <c r="CF53" s="649">
        <f>'Recycling - Case 2'!CB123</f>
        <v>0.36200198208013235</v>
      </c>
      <c r="CG53" s="417">
        <f>'Recycling - Case 2'!CC123</f>
        <v>0.42214374513725073</v>
      </c>
      <c r="CH53" s="417">
        <f>'Recycling - Case 2'!CD123</f>
        <v>0.36200198208013235</v>
      </c>
      <c r="CI53" s="525">
        <f>'Recycling - Case 2'!CE123</f>
        <v>0.42214374513725073</v>
      </c>
      <c r="CJ53" s="649">
        <f>'Recycling - Case 3'!CB123</f>
        <v>0.36200198208013235</v>
      </c>
      <c r="CK53" s="417">
        <f>'Recycling - Case 3'!CC123</f>
        <v>0.42214374513725073</v>
      </c>
      <c r="CL53" s="417">
        <f>'Recycling - Case 3'!CD123</f>
        <v>0.36200198208013235</v>
      </c>
      <c r="CM53" s="525">
        <f>'Recycling - Case 3'!CE123</f>
        <v>0.42214374513725073</v>
      </c>
    </row>
    <row r="54" spans="1:91">
      <c r="A54" s="4">
        <f>'Input data'!A143</f>
        <v>2043</v>
      </c>
      <c r="B54" s="4"/>
      <c r="C54" s="769">
        <f>'4A SWD Case 1'!BG113</f>
        <v>382.21202818125653</v>
      </c>
      <c r="D54" s="3">
        <f>'4B Biological treatment '!T107</f>
        <v>0.89303656520246277</v>
      </c>
      <c r="E54" s="1157">
        <f>'4B Biological treatment '!U107</f>
        <v>40.186645434110815</v>
      </c>
      <c r="F54" s="1157">
        <f>'4B Biological treatment '!W107</f>
        <v>2.4111987260466492</v>
      </c>
      <c r="G54" s="952">
        <f>'4C2 Open-burning '!R114</f>
        <v>11.134156537847643</v>
      </c>
      <c r="H54" s="952">
        <f>'4C2 Open-burning '!Z114</f>
        <v>3.7463027986349324</v>
      </c>
      <c r="I54" s="952">
        <f>'4C2 Open-burning '!AH114</f>
        <v>5.2154858012927324E-2</v>
      </c>
      <c r="J54" s="987">
        <f>'4D Wastewater treatment and dis'!AV151</f>
        <v>219.05869640380388</v>
      </c>
      <c r="K54" s="770">
        <f>'4D Wastewater treatment and dis'!AW151</f>
        <v>3.666315570517225</v>
      </c>
      <c r="L54" s="771">
        <f t="shared" si="69"/>
        <v>8026.4525918063873</v>
      </c>
      <c r="M54" s="772">
        <f t="shared" si="70"/>
        <v>18.753767869251718</v>
      </c>
      <c r="N54" s="771">
        <f t="shared" si="71"/>
        <v>1591.3911591907884</v>
      </c>
      <c r="O54" s="773">
        <f t="shared" si="72"/>
        <v>105.9745212931887</v>
      </c>
      <c r="P54" s="771">
        <f t="shared" si="73"/>
        <v>5736.7904513402209</v>
      </c>
      <c r="Q54" s="519">
        <f t="shared" si="74"/>
        <v>8026.4525918063873</v>
      </c>
      <c r="R54" s="521">
        <f t="shared" si="75"/>
        <v>1610.1449270600401</v>
      </c>
      <c r="S54" s="518">
        <f t="shared" si="76"/>
        <v>105.9745212931887</v>
      </c>
      <c r="T54" s="519">
        <f t="shared" si="77"/>
        <v>5736.7904513402209</v>
      </c>
      <c r="U54" s="519">
        <f t="shared" si="78"/>
        <v>15479.362491499836</v>
      </c>
      <c r="V54" s="3"/>
      <c r="W54" s="596">
        <f t="shared" si="79"/>
        <v>2044</v>
      </c>
      <c r="X54" s="1101">
        <f t="shared" si="80"/>
        <v>7831.2055337894481</v>
      </c>
      <c r="Y54" s="1102">
        <f t="shared" si="81"/>
        <v>1625.6855118164754</v>
      </c>
      <c r="Z54" s="1102">
        <f t="shared" si="82"/>
        <v>99.695450674930214</v>
      </c>
      <c r="AA54" s="1102">
        <f t="shared" si="83"/>
        <v>5813.3235192185621</v>
      </c>
      <c r="AB54" s="1142">
        <f t="shared" si="22"/>
        <v>15369.910015499416</v>
      </c>
      <c r="AC54" s="1423" t="str">
        <f>IF(OR('Recycling - Case 1'!AC124="No",'Recycling - Case 1'!T164="No"), "No", "Yes")</f>
        <v>Yes</v>
      </c>
      <c r="AD54" s="1101">
        <f t="shared" si="84"/>
        <v>7831.2055337894481</v>
      </c>
      <c r="AE54" s="1102">
        <f t="shared" si="85"/>
        <v>1625.6855118164754</v>
      </c>
      <c r="AF54" s="1102">
        <f t="shared" si="86"/>
        <v>99.695450674930214</v>
      </c>
      <c r="AG54" s="1102">
        <f t="shared" si="87"/>
        <v>5813.3235192185621</v>
      </c>
      <c r="AH54" s="1142">
        <f t="shared" si="60"/>
        <v>15369.910015499416</v>
      </c>
      <c r="AI54" s="1423" t="str">
        <f>IF(OR('Recycling - Case 1'!AI35="No",'Recycling - Case 1'!Z164="No"), "No", "Yes")</f>
        <v>Yes</v>
      </c>
      <c r="AJ54" s="1101">
        <f t="shared" si="88"/>
        <v>6854.3026537860942</v>
      </c>
      <c r="AK54" s="1102">
        <f t="shared" si="89"/>
        <v>1625.6855118164754</v>
      </c>
      <c r="AL54" s="1102">
        <f t="shared" si="90"/>
        <v>95.667531744697669</v>
      </c>
      <c r="AM54" s="1102">
        <f t="shared" si="91"/>
        <v>6058.7371195449232</v>
      </c>
      <c r="AN54" s="1142">
        <f t="shared" si="92"/>
        <v>14634.39281689219</v>
      </c>
      <c r="AO54" s="1416" t="str">
        <f>IF(OR('Recycling - Case 2'!AC124="No",'Recycling - Case 2'!T164="No"), "No", "Yes")</f>
        <v>Yes</v>
      </c>
      <c r="AP54" s="1101">
        <f t="shared" si="93"/>
        <v>6854.3026537860942</v>
      </c>
      <c r="AQ54" s="1102">
        <f t="shared" si="94"/>
        <v>1625.6855118164754</v>
      </c>
      <c r="AR54" s="1102">
        <f t="shared" si="95"/>
        <v>95.667531744697669</v>
      </c>
      <c r="AS54" s="1102">
        <f t="shared" si="96"/>
        <v>6058.7371195449232</v>
      </c>
      <c r="AT54" s="1142">
        <f t="shared" si="37"/>
        <v>14634.39281689219</v>
      </c>
      <c r="AU54" s="1423" t="str">
        <f>IF(OR('Recycling - Case 2'!AC124="No",'Recycling - Case 2'!T204="No"), "No", "Yes")</f>
        <v>Yes</v>
      </c>
      <c r="AV54" s="1101">
        <f t="shared" si="63"/>
        <v>6855.7032491090731</v>
      </c>
      <c r="AW54" s="1102">
        <f t="shared" si="64"/>
        <v>987.31316441433182</v>
      </c>
      <c r="AX54" s="1102">
        <f t="shared" si="65"/>
        <v>95.667531744697669</v>
      </c>
      <c r="AY54" s="1102">
        <f t="shared" si="66"/>
        <v>6058.7371195449232</v>
      </c>
      <c r="AZ54" s="1142">
        <f t="shared" si="67"/>
        <v>13997.421064813025</v>
      </c>
      <c r="BA54" s="1423" t="str">
        <f>IF(OR('Recycling - Case 3'!AC124="No",'Recycling - Case 3'!T164="No"), "No", "Yes")</f>
        <v>Yes</v>
      </c>
      <c r="BB54" s="1101">
        <f t="shared" si="97"/>
        <v>6855.7032491090731</v>
      </c>
      <c r="BC54" s="1102">
        <f t="shared" si="98"/>
        <v>987.31316441433182</v>
      </c>
      <c r="BD54" s="1102">
        <f t="shared" si="99"/>
        <v>95.667531744697669</v>
      </c>
      <c r="BE54" s="1102">
        <f t="shared" si="100"/>
        <v>6058.7371195449232</v>
      </c>
      <c r="BF54" s="1142">
        <f t="shared" si="47"/>
        <v>13997.421064813025</v>
      </c>
      <c r="BG54" s="1423" t="str">
        <f>IF(OR('Recycling - Case 3'!AC124="No",'Recycling - Case 3'!T204="No"), "No", "Yes")</f>
        <v>Yes</v>
      </c>
      <c r="BH54" s="596">
        <f t="shared" si="48"/>
        <v>2044</v>
      </c>
      <c r="BI54" s="1102">
        <f>'Recycling - Case 1'!BV124</f>
        <v>77.721660928013421</v>
      </c>
      <c r="BJ54" s="417">
        <f>'Recycling - Case 1'!BW124</f>
        <v>0.71848332404179704</v>
      </c>
      <c r="BK54" s="1142">
        <f>'Recycling - Case 1'!BX124</f>
        <v>3.7479159816449119</v>
      </c>
      <c r="BL54" s="1101">
        <f>'Recycling - Case 1'!BY124</f>
        <v>77.721660928013421</v>
      </c>
      <c r="BM54" s="417">
        <f>'Recycling - Case 1'!BZ124</f>
        <v>0.71848332404179704</v>
      </c>
      <c r="BN54" s="1142">
        <f>'Recycling - Case 1'!CA124</f>
        <v>3.7479159816449119</v>
      </c>
      <c r="BO54" s="1102">
        <f>'Recycling - Case 2'!BV124</f>
        <v>74.172397046004178</v>
      </c>
      <c r="BP54" s="417">
        <f>'Recycling - Case 2'!BW124</f>
        <v>0.78540874233789215</v>
      </c>
      <c r="BQ54" s="1142">
        <f>'Recycling - Case 2'!BX124</f>
        <v>3.7479159816449119</v>
      </c>
      <c r="BR54" s="1101">
        <f>'Recycling - Case 2'!BY124</f>
        <v>74.172397046004178</v>
      </c>
      <c r="BS54" s="417">
        <f>'Recycling - Case 2'!BZ124</f>
        <v>0.78540874233789215</v>
      </c>
      <c r="BT54" s="1142">
        <f>'Recycling - Case 2'!CA124</f>
        <v>3.7479159816449119</v>
      </c>
      <c r="BU54" s="1102">
        <f>'Recycling - Case 3'!BV124</f>
        <v>74.172397046004178</v>
      </c>
      <c r="BV54" s="417">
        <f>'Recycling - Case 3'!BW124</f>
        <v>0.78540874233789215</v>
      </c>
      <c r="BW54" s="1142">
        <f>'Recycling - Case 3'!BX124</f>
        <v>3.7479159816449119</v>
      </c>
      <c r="BX54" s="1101">
        <f>'Recycling - Case 3'!BY124</f>
        <v>74.172397046004178</v>
      </c>
      <c r="BY54" s="417">
        <f>'Recycling - Case 3'!BZ124</f>
        <v>0.78540874233789215</v>
      </c>
      <c r="BZ54" s="1142">
        <f>'Recycling - Case 3'!CA124</f>
        <v>3.7479159816449119</v>
      </c>
      <c r="CA54" s="596">
        <v>2044</v>
      </c>
      <c r="CB54" s="649">
        <f>'Recycling - Case 1'!CB124</f>
        <v>0.40142626362055789</v>
      </c>
      <c r="CC54" s="417">
        <f>'Recycling - Case 1'!CC124</f>
        <v>0.37123443882954021</v>
      </c>
      <c r="CD54" s="417">
        <f>'Recycling - Case 1'!CD124</f>
        <v>0.40142626362055789</v>
      </c>
      <c r="CE54" s="525">
        <f>'Recycling - Case 1'!CE124</f>
        <v>0.37123443882954021</v>
      </c>
      <c r="CF54" s="649">
        <f>'Recycling - Case 2'!CB124</f>
        <v>0.36396428507300427</v>
      </c>
      <c r="CG54" s="417">
        <f>'Recycling - Case 2'!CC124</f>
        <v>0.42133195051404215</v>
      </c>
      <c r="CH54" s="417">
        <f>'Recycling - Case 2'!CD124</f>
        <v>0.36396428507300427</v>
      </c>
      <c r="CI54" s="525">
        <f>'Recycling - Case 2'!CE124</f>
        <v>0.42133195051404215</v>
      </c>
      <c r="CJ54" s="649">
        <f>'Recycling - Case 3'!CB124</f>
        <v>0.36396428507300427</v>
      </c>
      <c r="CK54" s="417">
        <f>'Recycling - Case 3'!CC124</f>
        <v>0.42133195051404215</v>
      </c>
      <c r="CL54" s="417">
        <f>'Recycling - Case 3'!CD124</f>
        <v>0.36396428507300427</v>
      </c>
      <c r="CM54" s="525">
        <f>'Recycling - Case 3'!CE124</f>
        <v>0.42133195051404215</v>
      </c>
    </row>
    <row r="55" spans="1:91">
      <c r="A55" s="4">
        <f>'Input data'!A144</f>
        <v>2044</v>
      </c>
      <c r="B55" s="4"/>
      <c r="C55" s="769">
        <f>'4A SWD Case 1'!BG114</f>
        <v>372.91454922806895</v>
      </c>
      <c r="D55" s="3">
        <f>'4B Biological treatment '!T108</f>
        <v>0.90165585791263203</v>
      </c>
      <c r="E55" s="1157">
        <f>'4B Biological treatment '!U108</f>
        <v>40.574513606068436</v>
      </c>
      <c r="F55" s="1157">
        <f>'4B Biological treatment '!W108</f>
        <v>2.4344708163641062</v>
      </c>
      <c r="G55" s="952">
        <f>'4C2 Open-burning '!R115</f>
        <v>10.47444933348603</v>
      </c>
      <c r="H55" s="952">
        <f>'4C2 Open-burning '!Z115</f>
        <v>3.5243315215491062</v>
      </c>
      <c r="I55" s="952">
        <f>'4C2 Open-burning '!AH115</f>
        <v>4.9064643190041744E-2</v>
      </c>
      <c r="J55" s="987">
        <f>'4D Wastewater treatment and dis'!AV152</f>
        <v>222.36698151436079</v>
      </c>
      <c r="K55" s="770">
        <f>'4D Wastewater treatment and dis'!AW152</f>
        <v>3.6890867981193103</v>
      </c>
      <c r="L55" s="771">
        <f t="shared" si="69"/>
        <v>7831.2055337894481</v>
      </c>
      <c r="M55" s="772">
        <f t="shared" si="70"/>
        <v>18.934773016165273</v>
      </c>
      <c r="N55" s="771">
        <f t="shared" si="71"/>
        <v>1606.75073880031</v>
      </c>
      <c r="O55" s="773">
        <f t="shared" si="72"/>
        <v>99.695450674930214</v>
      </c>
      <c r="P55" s="771">
        <f t="shared" si="73"/>
        <v>5813.3235192185621</v>
      </c>
      <c r="Q55" s="519">
        <f t="shared" si="74"/>
        <v>7831.2055337894481</v>
      </c>
      <c r="R55" s="521">
        <f t="shared" si="75"/>
        <v>1625.6855118164754</v>
      </c>
      <c r="S55" s="518">
        <f t="shared" si="76"/>
        <v>99.695450674930214</v>
      </c>
      <c r="T55" s="519">
        <f t="shared" si="77"/>
        <v>5813.3235192185621</v>
      </c>
      <c r="U55" s="519">
        <f t="shared" si="78"/>
        <v>15369.910015499416</v>
      </c>
      <c r="V55" s="3"/>
      <c r="W55" s="596">
        <f t="shared" si="79"/>
        <v>2045</v>
      </c>
      <c r="X55" s="1101">
        <f t="shared" si="80"/>
        <v>7646.0312279865975</v>
      </c>
      <c r="Y55" s="1102">
        <f t="shared" si="81"/>
        <v>1641.6678973284941</v>
      </c>
      <c r="Z55" s="1102">
        <f t="shared" si="82"/>
        <v>93.438067529346228</v>
      </c>
      <c r="AA55" s="1102">
        <f t="shared" si="83"/>
        <v>5890.5859696831139</v>
      </c>
      <c r="AB55" s="1142">
        <f t="shared" si="22"/>
        <v>15271.723162527553</v>
      </c>
      <c r="AC55" s="1423" t="str">
        <f>IF(OR('Recycling - Case 1'!AC125="No",'Recycling - Case 1'!T165="No"), "No", "Yes")</f>
        <v>Yes</v>
      </c>
      <c r="AD55" s="1101">
        <f t="shared" si="84"/>
        <v>7646.0312279865975</v>
      </c>
      <c r="AE55" s="1102">
        <f t="shared" si="85"/>
        <v>1641.6678973284941</v>
      </c>
      <c r="AF55" s="1102">
        <f t="shared" si="86"/>
        <v>93.438067529346228</v>
      </c>
      <c r="AG55" s="1102">
        <f t="shared" si="87"/>
        <v>5890.5859696831139</v>
      </c>
      <c r="AH55" s="1142">
        <f t="shared" si="60"/>
        <v>15271.723162527553</v>
      </c>
      <c r="AI55" s="1423" t="str">
        <f>IF(OR('Recycling - Case 1'!AI36="No",'Recycling - Case 1'!Z165="No"), "No", "Yes")</f>
        <v>Yes</v>
      </c>
      <c r="AJ55" s="1101">
        <f t="shared" si="88"/>
        <v>6680.985179591863</v>
      </c>
      <c r="AK55" s="1102">
        <f t="shared" si="89"/>
        <v>1641.6678973284941</v>
      </c>
      <c r="AL55" s="1102">
        <f t="shared" si="90"/>
        <v>95.48304612493115</v>
      </c>
      <c r="AM55" s="1102">
        <f t="shared" si="91"/>
        <v>6096.3675087672291</v>
      </c>
      <c r="AN55" s="1142">
        <f t="shared" si="92"/>
        <v>14514.503631812517</v>
      </c>
      <c r="AO55" s="1416" t="str">
        <f>IF(OR('Recycling - Case 2'!AC125="No",'Recycling - Case 2'!T165="No"), "No", "Yes")</f>
        <v>Yes</v>
      </c>
      <c r="AP55" s="1101">
        <f t="shared" si="93"/>
        <v>6680.985179591863</v>
      </c>
      <c r="AQ55" s="1102">
        <f t="shared" si="94"/>
        <v>1641.6678973284941</v>
      </c>
      <c r="AR55" s="1102">
        <f t="shared" si="95"/>
        <v>95.48304612493115</v>
      </c>
      <c r="AS55" s="1102">
        <f t="shared" si="96"/>
        <v>6096.3675087672291</v>
      </c>
      <c r="AT55" s="1142">
        <f t="shared" si="37"/>
        <v>14514.503631812517</v>
      </c>
      <c r="AU55" s="1423" t="str">
        <f>IF(OR('Recycling - Case 2'!AC125="No",'Recycling - Case 2'!T205="No"), "No", "Yes")</f>
        <v>Yes</v>
      </c>
      <c r="AV55" s="1101">
        <f t="shared" si="63"/>
        <v>6682.429731031435</v>
      </c>
      <c r="AW55" s="1102">
        <f t="shared" si="64"/>
        <v>997.01960486672272</v>
      </c>
      <c r="AX55" s="1102">
        <f t="shared" si="65"/>
        <v>95.483046124931136</v>
      </c>
      <c r="AY55" s="1102">
        <f t="shared" si="66"/>
        <v>6096.3675087672291</v>
      </c>
      <c r="AZ55" s="1142">
        <f t="shared" si="67"/>
        <v>13871.299890790318</v>
      </c>
      <c r="BA55" s="1423" t="str">
        <f>IF(OR('Recycling - Case 3'!AC125="No",'Recycling - Case 3'!T165="No"), "No", "Yes")</f>
        <v>Yes</v>
      </c>
      <c r="BB55" s="1101">
        <f t="shared" si="97"/>
        <v>6682.429731031435</v>
      </c>
      <c r="BC55" s="1102">
        <f t="shared" si="98"/>
        <v>997.01960486672272</v>
      </c>
      <c r="BD55" s="1102">
        <f t="shared" si="99"/>
        <v>95.483046124931136</v>
      </c>
      <c r="BE55" s="1102">
        <f t="shared" si="100"/>
        <v>6096.3675087672291</v>
      </c>
      <c r="BF55" s="1142">
        <f t="shared" si="47"/>
        <v>13871.299890790318</v>
      </c>
      <c r="BG55" s="1423" t="str">
        <f>IF(OR('Recycling - Case 3'!AC125="No",'Recycling - Case 3'!T205="No"), "No", "Yes")</f>
        <v>Yes</v>
      </c>
      <c r="BH55" s="596">
        <f t="shared" si="48"/>
        <v>2045</v>
      </c>
      <c r="BI55" s="1102">
        <f>'Recycling - Case 1'!BV125</f>
        <v>77.060957497347488</v>
      </c>
      <c r="BJ55" s="417">
        <f>'Recycling - Case 1'!BW125</f>
        <v>0.73176336343185666</v>
      </c>
      <c r="BK55" s="1142">
        <f>'Recycling - Case 1'!BX125</f>
        <v>1.2855130332414466</v>
      </c>
      <c r="BL55" s="1101">
        <f>'Recycling - Case 1'!BY125</f>
        <v>77.060957497347488</v>
      </c>
      <c r="BM55" s="417">
        <f>'Recycling - Case 1'!BZ125</f>
        <v>0.73176336343185666</v>
      </c>
      <c r="BN55" s="1142">
        <f>'Recycling - Case 1'!CA125</f>
        <v>1.2855130332414466</v>
      </c>
      <c r="BO55" s="1102">
        <f>'Recycling - Case 2'!BV125</f>
        <v>74.294195412452794</v>
      </c>
      <c r="BP55" s="417">
        <f>'Recycling - Case 2'!BW125</f>
        <v>0.78576054458155742</v>
      </c>
      <c r="BQ55" s="1142">
        <f>'Recycling - Case 2'!BX125</f>
        <v>1.2855130332414466</v>
      </c>
      <c r="BR55" s="1101">
        <f>'Recycling - Case 2'!BY125</f>
        <v>74.294195412452794</v>
      </c>
      <c r="BS55" s="417">
        <f>'Recycling - Case 2'!BZ125</f>
        <v>0.78576054458155742</v>
      </c>
      <c r="BT55" s="1142">
        <f>'Recycling - Case 2'!CA125</f>
        <v>1.2855130332414466</v>
      </c>
      <c r="BU55" s="1102">
        <f>'Recycling - Case 3'!BV125</f>
        <v>74.294195412452794</v>
      </c>
      <c r="BV55" s="417">
        <f>'Recycling - Case 3'!BW125</f>
        <v>0.78576054458155742</v>
      </c>
      <c r="BW55" s="1142">
        <f>'Recycling - Case 3'!BX125</f>
        <v>1.2855130332414466</v>
      </c>
      <c r="BX55" s="1101">
        <f>'Recycling - Case 3'!BY125</f>
        <v>74.294195412452794</v>
      </c>
      <c r="BY55" s="417">
        <f>'Recycling - Case 3'!BZ125</f>
        <v>0.78576054458155742</v>
      </c>
      <c r="BZ55" s="1142">
        <f>'Recycling - Case 3'!CA125</f>
        <v>1.2855130332414466</v>
      </c>
      <c r="CA55" s="596">
        <v>2045</v>
      </c>
      <c r="CB55" s="649">
        <f>'Recycling - Case 1'!CB125</f>
        <v>0.41059682127280317</v>
      </c>
      <c r="CC55" s="417">
        <f>'Recycling - Case 1'!CC125</f>
        <v>0.37637138389818148</v>
      </c>
      <c r="CD55" s="417">
        <f>'Recycling - Case 1'!CD125</f>
        <v>0.41059682127280317</v>
      </c>
      <c r="CE55" s="525">
        <f>'Recycling - Case 1'!CE125</f>
        <v>0.37637138389818148</v>
      </c>
      <c r="CF55" s="649">
        <f>'Recycling - Case 2'!CB125</f>
        <v>0.36591359792336786</v>
      </c>
      <c r="CG55" s="417">
        <f>'Recycling - Case 2'!CC125</f>
        <v>0.42062927878451328</v>
      </c>
      <c r="CH55" s="417">
        <f>'Recycling - Case 2'!CD125</f>
        <v>0.36591359792336786</v>
      </c>
      <c r="CI55" s="525">
        <f>'Recycling - Case 2'!CE125</f>
        <v>0.42062927878451328</v>
      </c>
      <c r="CJ55" s="649">
        <f>'Recycling - Case 3'!CB125</f>
        <v>0.36591359792336786</v>
      </c>
      <c r="CK55" s="417">
        <f>'Recycling - Case 3'!CC125</f>
        <v>0.42062927878451328</v>
      </c>
      <c r="CL55" s="417">
        <f>'Recycling - Case 3'!CD125</f>
        <v>0.36591359792336786</v>
      </c>
      <c r="CM55" s="525">
        <f>'Recycling - Case 3'!CE125</f>
        <v>0.42062927878451328</v>
      </c>
    </row>
    <row r="56" spans="1:91">
      <c r="A56" s="4">
        <f>'Input data'!A145</f>
        <v>2045</v>
      </c>
      <c r="B56" s="4"/>
      <c r="C56" s="769">
        <f>'4A SWD Case 1'!BG115</f>
        <v>364.09672514221893</v>
      </c>
      <c r="D56" s="3">
        <f>'4B Biological treatment '!T109</f>
        <v>0.91052018709289761</v>
      </c>
      <c r="E56" s="1157">
        <f>'4B Biological treatment '!U109</f>
        <v>40.973408419180387</v>
      </c>
      <c r="F56" s="1157">
        <f>'4B Biological treatment '!W109</f>
        <v>2.4584045051508232</v>
      </c>
      <c r="G56" s="952">
        <f>'4C2 Open-burning '!R116</f>
        <v>9.8170207118697927</v>
      </c>
      <c r="H56" s="952">
        <f>'4C2 Open-burning '!Z116</f>
        <v>3.3031269177974401</v>
      </c>
      <c r="I56" s="952">
        <f>'4C2 Open-burning '!AH116</f>
        <v>4.5985101753968347E-2</v>
      </c>
      <c r="J56" s="987">
        <f>'4D Wastewater treatment and dis'!AV153</f>
        <v>225.70791134560363</v>
      </c>
      <c r="K56" s="770">
        <f>'4D Wastewater treatment and dis'!AW153</f>
        <v>3.711999456211089</v>
      </c>
      <c r="L56" s="771">
        <f t="shared" si="69"/>
        <v>7646.0312279865975</v>
      </c>
      <c r="M56" s="772">
        <f t="shared" si="70"/>
        <v>19.120923928950852</v>
      </c>
      <c r="N56" s="771">
        <f t="shared" si="71"/>
        <v>1622.5469733995433</v>
      </c>
      <c r="O56" s="773">
        <f t="shared" si="72"/>
        <v>93.438067529346228</v>
      </c>
      <c r="P56" s="771">
        <f t="shared" si="73"/>
        <v>5890.5859696831139</v>
      </c>
      <c r="Q56" s="519">
        <f t="shared" si="74"/>
        <v>7646.0312279865975</v>
      </c>
      <c r="R56" s="521">
        <f t="shared" si="75"/>
        <v>1641.6678973284941</v>
      </c>
      <c r="S56" s="518">
        <f t="shared" si="76"/>
        <v>93.438067529346228</v>
      </c>
      <c r="T56" s="519">
        <f t="shared" si="77"/>
        <v>5890.5859696831139</v>
      </c>
      <c r="U56" s="519">
        <f t="shared" si="78"/>
        <v>15271.723162527553</v>
      </c>
      <c r="V56" s="3"/>
      <c r="W56" s="596">
        <f t="shared" si="79"/>
        <v>2046</v>
      </c>
      <c r="X56" s="1101">
        <f t="shared" si="80"/>
        <v>7470.7255858411881</v>
      </c>
      <c r="Y56" s="1102">
        <f t="shared" si="81"/>
        <v>1659.4705759601713</v>
      </c>
      <c r="Z56" s="1102">
        <f t="shared" si="82"/>
        <v>87.227232528263414</v>
      </c>
      <c r="AA56" s="1102">
        <f t="shared" si="83"/>
        <v>5962.0228726331479</v>
      </c>
      <c r="AB56" s="1142">
        <f t="shared" si="22"/>
        <v>15179.44626696277</v>
      </c>
      <c r="AC56" s="1423" t="str">
        <f>IF(OR('Recycling - Case 1'!AC126="No",'Recycling - Case 1'!T166="No"), "No", "Yes")</f>
        <v>Yes</v>
      </c>
      <c r="AD56" s="1101">
        <f t="shared" si="84"/>
        <v>7470.7255858411881</v>
      </c>
      <c r="AE56" s="1102">
        <f t="shared" si="85"/>
        <v>1659.4705759601713</v>
      </c>
      <c r="AF56" s="1102">
        <f t="shared" si="86"/>
        <v>87.227232528263414</v>
      </c>
      <c r="AG56" s="1102">
        <f t="shared" si="87"/>
        <v>5962.0228726331479</v>
      </c>
      <c r="AH56" s="1142">
        <f t="shared" si="60"/>
        <v>15179.44626696277</v>
      </c>
      <c r="AI56" s="1423" t="str">
        <f>IF(OR('Recycling - Case 1'!AI37="No",'Recycling - Case 1'!Z166="No"), "No", "Yes")</f>
        <v>Yes</v>
      </c>
      <c r="AJ56" s="1101">
        <f t="shared" si="88"/>
        <v>6524.8599542508164</v>
      </c>
      <c r="AK56" s="1102">
        <f t="shared" si="89"/>
        <v>1659.4705759601713</v>
      </c>
      <c r="AL56" s="1102">
        <f t="shared" si="90"/>
        <v>95.332713212379986</v>
      </c>
      <c r="AM56" s="1102">
        <f t="shared" si="91"/>
        <v>6127.4884893628396</v>
      </c>
      <c r="AN56" s="1142">
        <f t="shared" si="92"/>
        <v>14407.151732786206</v>
      </c>
      <c r="AO56" s="1416" t="str">
        <f>IF(OR('Recycling - Case 2'!AC126="No",'Recycling - Case 2'!T166="No"), "No", "Yes")</f>
        <v>Yes</v>
      </c>
      <c r="AP56" s="1101">
        <f t="shared" si="93"/>
        <v>6524.8599542508164</v>
      </c>
      <c r="AQ56" s="1102">
        <f t="shared" si="94"/>
        <v>1659.4705759601713</v>
      </c>
      <c r="AR56" s="1102">
        <f t="shared" si="95"/>
        <v>95.332713212379986</v>
      </c>
      <c r="AS56" s="1102">
        <f t="shared" si="96"/>
        <v>6127.4884893628396</v>
      </c>
      <c r="AT56" s="1142">
        <f t="shared" si="37"/>
        <v>14407.151732786206</v>
      </c>
      <c r="AU56" s="1423" t="str">
        <f>IF(OR('Recycling - Case 2'!AC126="No",'Recycling - Case 2'!T206="No"), "No", "Yes")</f>
        <v>Yes</v>
      </c>
      <c r="AV56" s="1101">
        <f t="shared" si="63"/>
        <v>6526.3466816006267</v>
      </c>
      <c r="AW56" s="1102">
        <f t="shared" si="64"/>
        <v>1007.8315477961107</v>
      </c>
      <c r="AX56" s="1102">
        <f t="shared" si="65"/>
        <v>95.332713212379986</v>
      </c>
      <c r="AY56" s="1102">
        <f t="shared" si="66"/>
        <v>6127.4884893628396</v>
      </c>
      <c r="AZ56" s="1142">
        <f t="shared" si="67"/>
        <v>13756.999431971955</v>
      </c>
      <c r="BA56" s="1423" t="str">
        <f>IF(OR('Recycling - Case 3'!AC126="No",'Recycling - Case 3'!T166="No"), "No", "Yes")</f>
        <v>Yes</v>
      </c>
      <c r="BB56" s="1101">
        <f t="shared" si="97"/>
        <v>6526.3466816006267</v>
      </c>
      <c r="BC56" s="1102">
        <f t="shared" si="98"/>
        <v>1007.8315477961107</v>
      </c>
      <c r="BD56" s="1102">
        <f t="shared" si="99"/>
        <v>95.332713212379986</v>
      </c>
      <c r="BE56" s="1102">
        <f t="shared" si="100"/>
        <v>6127.4884893628396</v>
      </c>
      <c r="BF56" s="1142">
        <f t="shared" si="47"/>
        <v>13756.999431971955</v>
      </c>
      <c r="BG56" s="1423" t="str">
        <f>IF(OR('Recycling - Case 3'!AC126="No",'Recycling - Case 3'!T206="No"), "No", "Yes")</f>
        <v>Yes</v>
      </c>
      <c r="BH56" s="596">
        <f t="shared" si="48"/>
        <v>2046</v>
      </c>
      <c r="BI56" s="1102">
        <f>'Recycling - Case 1'!BV126</f>
        <v>77.017733141941747</v>
      </c>
      <c r="BJ56" s="417">
        <f>'Recycling - Case 1'!BW126</f>
        <v>0.74657885237874222</v>
      </c>
      <c r="BK56" s="1142">
        <f>'Recycling - Case 1'!BX126</f>
        <v>1.0753894981777501</v>
      </c>
      <c r="BL56" s="1101">
        <f>'Recycling - Case 1'!BY126</f>
        <v>77.017733141941747</v>
      </c>
      <c r="BM56" s="417">
        <f>'Recycling - Case 1'!BZ126</f>
        <v>0.74657885237874222</v>
      </c>
      <c r="BN56" s="1142">
        <f>'Recycling - Case 1'!CA126</f>
        <v>1.0753894981777501</v>
      </c>
      <c r="BO56" s="1102">
        <f>'Recycling - Case 2'!BV126</f>
        <v>75.425267150084025</v>
      </c>
      <c r="BP56" s="417">
        <f>'Recycling - Case 2'!BW126</f>
        <v>0.78897326363798614</v>
      </c>
      <c r="BQ56" s="1142">
        <f>'Recycling - Case 2'!BX126</f>
        <v>1.0753894981777501</v>
      </c>
      <c r="BR56" s="1101">
        <f>'Recycling - Case 2'!BY126</f>
        <v>75.425267150084025</v>
      </c>
      <c r="BS56" s="417">
        <f>'Recycling - Case 2'!BZ126</f>
        <v>0.78897326363798614</v>
      </c>
      <c r="BT56" s="1142">
        <f>'Recycling - Case 2'!CA126</f>
        <v>1.0753894981777501</v>
      </c>
      <c r="BU56" s="1102">
        <f>'Recycling - Case 3'!BV126</f>
        <v>75.425267150084025</v>
      </c>
      <c r="BV56" s="417">
        <f>'Recycling - Case 3'!BW126</f>
        <v>0.78897326363798614</v>
      </c>
      <c r="BW56" s="1142">
        <f>'Recycling - Case 3'!BX126</f>
        <v>1.0753894981777501</v>
      </c>
      <c r="BX56" s="1101">
        <f>'Recycling - Case 3'!BY126</f>
        <v>75.425267150084025</v>
      </c>
      <c r="BY56" s="417">
        <f>'Recycling - Case 3'!BZ126</f>
        <v>0.78897326363798614</v>
      </c>
      <c r="BZ56" s="1142">
        <f>'Recycling - Case 3'!CA126</f>
        <v>1.0753894981777501</v>
      </c>
      <c r="CA56" s="596">
        <v>2046</v>
      </c>
      <c r="CB56" s="649">
        <f>'Recycling - Case 1'!CB126</f>
        <v>0.41931610360905747</v>
      </c>
      <c r="CC56" s="417">
        <f>'Recycling - Case 1'!CC126</f>
        <v>0.39123856418667069</v>
      </c>
      <c r="CD56" s="417">
        <f>'Recycling - Case 1'!CD126</f>
        <v>0.41931610360905747</v>
      </c>
      <c r="CE56" s="525">
        <f>'Recycling - Case 1'!CE126</f>
        <v>0.39123856418667069</v>
      </c>
      <c r="CF56" s="649">
        <f>'Recycling - Case 2'!CB126</f>
        <v>0.36750697834425616</v>
      </c>
      <c r="CG56" s="417">
        <f>'Recycling - Case 2'!CC126</f>
        <v>0.42457126921454891</v>
      </c>
      <c r="CH56" s="417">
        <f>'Recycling - Case 2'!CD126</f>
        <v>0.36750697834425616</v>
      </c>
      <c r="CI56" s="525">
        <f>'Recycling - Case 2'!CE126</f>
        <v>0.42457126921454891</v>
      </c>
      <c r="CJ56" s="649">
        <f>'Recycling - Case 3'!CB126</f>
        <v>0.36750697834425616</v>
      </c>
      <c r="CK56" s="417">
        <f>'Recycling - Case 3'!CC126</f>
        <v>0.42457126921454891</v>
      </c>
      <c r="CL56" s="417">
        <f>'Recycling - Case 3'!CD126</f>
        <v>0.36750697834425616</v>
      </c>
      <c r="CM56" s="525">
        <f>'Recycling - Case 3'!CE126</f>
        <v>0.42457126921454891</v>
      </c>
    </row>
    <row r="57" spans="1:91">
      <c r="A57" s="4">
        <f>'Input data'!A146</f>
        <v>2046</v>
      </c>
      <c r="B57" s="4"/>
      <c r="C57" s="769">
        <f>'4A SWD Case 1'!BG116</f>
        <v>355.74883742100894</v>
      </c>
      <c r="D57" s="3">
        <f>'4B Biological treatment '!T110</f>
        <v>0.92039410757635687</v>
      </c>
      <c r="E57" s="1157">
        <f>'4B Biological treatment '!U110</f>
        <v>41.417734840936056</v>
      </c>
      <c r="F57" s="1157">
        <f>'4B Biological treatment '!W110</f>
        <v>2.4850640904561638</v>
      </c>
      <c r="G57" s="952">
        <f>'4C2 Open-burning '!R117</f>
        <v>9.1644826462201969</v>
      </c>
      <c r="H57" s="952">
        <f>'4C2 Open-burning '!Z117</f>
        <v>3.0835678364023558</v>
      </c>
      <c r="I57" s="952">
        <f>'4C2 Open-burning '!AH117</f>
        <v>4.2928468766431443E-2</v>
      </c>
      <c r="J57" s="987">
        <f>'4D Wastewater treatment and dis'!AV154</f>
        <v>228.82994288598573</v>
      </c>
      <c r="K57" s="770">
        <f>'4D Wastewater treatment and dis'!AW154</f>
        <v>3.7309486194433799</v>
      </c>
      <c r="L57" s="771">
        <f t="shared" si="69"/>
        <v>7470.7255858411881</v>
      </c>
      <c r="M57" s="772">
        <f t="shared" si="70"/>
        <v>19.328276259103493</v>
      </c>
      <c r="N57" s="771">
        <f t="shared" si="71"/>
        <v>1640.1422997010679</v>
      </c>
      <c r="O57" s="773">
        <f t="shared" si="72"/>
        <v>87.227232528263414</v>
      </c>
      <c r="P57" s="771">
        <f t="shared" si="73"/>
        <v>5962.0228726331479</v>
      </c>
      <c r="Q57" s="519">
        <f t="shared" si="74"/>
        <v>7470.7255858411881</v>
      </c>
      <c r="R57" s="521">
        <f t="shared" si="75"/>
        <v>1659.4705759601713</v>
      </c>
      <c r="S57" s="518">
        <f t="shared" si="76"/>
        <v>87.227232528263414</v>
      </c>
      <c r="T57" s="519">
        <f t="shared" si="77"/>
        <v>5962.0228726331479</v>
      </c>
      <c r="U57" s="519">
        <f t="shared" si="78"/>
        <v>15179.44626696277</v>
      </c>
      <c r="V57" s="3"/>
      <c r="W57" s="596">
        <f t="shared" si="79"/>
        <v>2047</v>
      </c>
      <c r="X57" s="1101">
        <f t="shared" si="80"/>
        <v>7295.0802085724645</v>
      </c>
      <c r="Y57" s="1102">
        <f t="shared" si="81"/>
        <v>1673.3782791689821</v>
      </c>
      <c r="Z57" s="1102">
        <f t="shared" si="82"/>
        <v>81.033572020965295</v>
      </c>
      <c r="AA57" s="1102">
        <f t="shared" si="83"/>
        <v>6034.0356184153861</v>
      </c>
      <c r="AB57" s="1142">
        <f t="shared" si="22"/>
        <v>15083.527678177799</v>
      </c>
      <c r="AC57" s="1423" t="str">
        <f>IF(OR('Recycling - Case 1'!AC127="No",'Recycling - Case 1'!T167="No"), "No", "Yes")</f>
        <v>Yes</v>
      </c>
      <c r="AD57" s="1101">
        <f t="shared" si="84"/>
        <v>7295.0802085724645</v>
      </c>
      <c r="AE57" s="1102">
        <f t="shared" si="85"/>
        <v>1673.3782791689821</v>
      </c>
      <c r="AF57" s="1102">
        <f t="shared" si="86"/>
        <v>81.033572020965295</v>
      </c>
      <c r="AG57" s="1102">
        <f t="shared" si="87"/>
        <v>6034.0356184153861</v>
      </c>
      <c r="AH57" s="1142">
        <f t="shared" si="60"/>
        <v>15083.527678177799</v>
      </c>
      <c r="AI57" s="1423" t="str">
        <f>IF(OR('Recycling - Case 1'!AI38="No",'Recycling - Case 1'!Z167="No"), "No", "Yes")</f>
        <v>Yes</v>
      </c>
      <c r="AJ57" s="1101">
        <f t="shared" si="88"/>
        <v>6377.6737395458194</v>
      </c>
      <c r="AK57" s="1102">
        <f t="shared" si="89"/>
        <v>1673.3782791689821</v>
      </c>
      <c r="AL57" s="1102">
        <f t="shared" si="90"/>
        <v>95.183612874715863</v>
      </c>
      <c r="AM57" s="1102">
        <f t="shared" si="91"/>
        <v>6158.7683375844354</v>
      </c>
      <c r="AN57" s="1142">
        <f t="shared" si="92"/>
        <v>14305.003969173951</v>
      </c>
      <c r="AO57" s="1416" t="str">
        <f>IF(OR('Recycling - Case 2'!AC127="No",'Recycling - Case 2'!T167="No"), "No", "Yes")</f>
        <v>Yes</v>
      </c>
      <c r="AP57" s="1101">
        <f t="shared" si="93"/>
        <v>6377.6737395458194</v>
      </c>
      <c r="AQ57" s="1102">
        <f t="shared" si="94"/>
        <v>1673.3782791689821</v>
      </c>
      <c r="AR57" s="1102">
        <f t="shared" si="95"/>
        <v>95.183612874715863</v>
      </c>
      <c r="AS57" s="1102">
        <f t="shared" si="96"/>
        <v>6158.7683375844354</v>
      </c>
      <c r="AT57" s="1142">
        <f t="shared" si="37"/>
        <v>14305.003969173951</v>
      </c>
      <c r="AU57" s="1423" t="str">
        <f>IF(OR('Recycling - Case 2'!AC127="No",'Recycling - Case 2'!T207="No"), "No", "Yes")</f>
        <v>Yes</v>
      </c>
      <c r="AV57" s="1101">
        <f t="shared" si="63"/>
        <v>6379.2008314135428</v>
      </c>
      <c r="AW57" s="1102">
        <f t="shared" si="64"/>
        <v>1016.2779898447228</v>
      </c>
      <c r="AX57" s="1102">
        <f t="shared" si="65"/>
        <v>95.183612874715863</v>
      </c>
      <c r="AY57" s="1102">
        <f t="shared" si="66"/>
        <v>6158.7683375844354</v>
      </c>
      <c r="AZ57" s="1142">
        <f t="shared" si="67"/>
        <v>13649.430771717416</v>
      </c>
      <c r="BA57" s="1423" t="str">
        <f>IF(OR('Recycling - Case 3'!AC127="No",'Recycling - Case 3'!T167="No"), "No", "Yes")</f>
        <v>Yes</v>
      </c>
      <c r="BB57" s="1101">
        <f t="shared" si="97"/>
        <v>6379.2008314135428</v>
      </c>
      <c r="BC57" s="1102">
        <f t="shared" si="98"/>
        <v>1016.2779898447228</v>
      </c>
      <c r="BD57" s="1102">
        <f t="shared" si="99"/>
        <v>95.183612874715863</v>
      </c>
      <c r="BE57" s="1102">
        <f t="shared" si="100"/>
        <v>6158.7683375844354</v>
      </c>
      <c r="BF57" s="1142">
        <f t="shared" si="47"/>
        <v>13649.430771717416</v>
      </c>
      <c r="BG57" s="1423" t="str">
        <f>IF(OR('Recycling - Case 3'!AC127="No",'Recycling - Case 3'!T207="No"), "No", "Yes")</f>
        <v>Yes</v>
      </c>
      <c r="BH57" s="596">
        <f t="shared" si="48"/>
        <v>2047</v>
      </c>
      <c r="BI57" s="1102">
        <f>'Recycling - Case 1'!BV127</f>
        <v>76.773846562149316</v>
      </c>
      <c r="BJ57" s="417">
        <f>'Recycling - Case 1'!BW127</f>
        <v>0.76008877750354209</v>
      </c>
      <c r="BK57" s="1142">
        <f>'Recycling - Case 1'!BX127</f>
        <v>0.86526596311405368</v>
      </c>
      <c r="BL57" s="1101">
        <f>'Recycling - Case 1'!BY127</f>
        <v>76.773846562149316</v>
      </c>
      <c r="BM57" s="417">
        <f>'Recycling - Case 1'!BZ127</f>
        <v>0.76008877750354209</v>
      </c>
      <c r="BN57" s="1142">
        <f>'Recycling - Case 1'!CA127</f>
        <v>0.86526596311405368</v>
      </c>
      <c r="BO57" s="1102">
        <f>'Recycling - Case 2'!BV127</f>
        <v>76.301941964538074</v>
      </c>
      <c r="BP57" s="417">
        <f>'Recycling - Case 2'!BW127</f>
        <v>0.79139786542637847</v>
      </c>
      <c r="BQ57" s="1142">
        <f>'Recycling - Case 2'!BX127</f>
        <v>0.86526596311405368</v>
      </c>
      <c r="BR57" s="1101">
        <f>'Recycling - Case 2'!BY127</f>
        <v>76.301941964538074</v>
      </c>
      <c r="BS57" s="417">
        <f>'Recycling - Case 2'!BZ127</f>
        <v>0.79139786542637847</v>
      </c>
      <c r="BT57" s="1142">
        <f>'Recycling - Case 2'!CA127</f>
        <v>0.86526596311405368</v>
      </c>
      <c r="BU57" s="1102">
        <f>'Recycling - Case 3'!BV127</f>
        <v>76.301941964538074</v>
      </c>
      <c r="BV57" s="417">
        <f>'Recycling - Case 3'!BW127</f>
        <v>0.79139786542637847</v>
      </c>
      <c r="BW57" s="1142">
        <f>'Recycling - Case 3'!BX127</f>
        <v>0.86526596311405368</v>
      </c>
      <c r="BX57" s="1101">
        <f>'Recycling - Case 3'!BY127</f>
        <v>76.301941964538074</v>
      </c>
      <c r="BY57" s="417">
        <f>'Recycling - Case 3'!BZ127</f>
        <v>0.79139786542637847</v>
      </c>
      <c r="BZ57" s="1142">
        <f>'Recycling - Case 3'!CA127</f>
        <v>0.86526596311405368</v>
      </c>
      <c r="CA57" s="596">
        <v>2047</v>
      </c>
      <c r="CB57" s="649">
        <f>'Recycling - Case 1'!CB127</f>
        <v>0.4279500163115344</v>
      </c>
      <c r="CC57" s="417">
        <f>'Recycling - Case 1'!CC127</f>
        <v>0.40378263987809593</v>
      </c>
      <c r="CD57" s="417">
        <f>'Recycling - Case 1'!CD127</f>
        <v>0.4279500163115344</v>
      </c>
      <c r="CE57" s="525">
        <f>'Recycling - Case 1'!CE127</f>
        <v>0.40378263987809593</v>
      </c>
      <c r="CF57" s="649">
        <f>'Recycling - Case 2'!CB127</f>
        <v>0.36909169159072286</v>
      </c>
      <c r="CG57" s="417">
        <f>'Recycling - Case 2'!CC127</f>
        <v>0.42742995593517208</v>
      </c>
      <c r="CH57" s="417">
        <f>'Recycling - Case 2'!CD127</f>
        <v>0.36909169159072286</v>
      </c>
      <c r="CI57" s="525">
        <f>'Recycling - Case 2'!CE127</f>
        <v>0.42742995593517208</v>
      </c>
      <c r="CJ57" s="649">
        <f>'Recycling - Case 3'!CB127</f>
        <v>0.36909169159072286</v>
      </c>
      <c r="CK57" s="417">
        <f>'Recycling - Case 3'!CC127</f>
        <v>0.42742995593517208</v>
      </c>
      <c r="CL57" s="417">
        <f>'Recycling - Case 3'!CD127</f>
        <v>0.36909169159072286</v>
      </c>
      <c r="CM57" s="525">
        <f>'Recycling - Case 3'!CE127</f>
        <v>0.42742995593517208</v>
      </c>
    </row>
    <row r="58" spans="1:91">
      <c r="A58" s="4">
        <f>'Input data'!A147</f>
        <v>2047</v>
      </c>
      <c r="B58" s="4"/>
      <c r="C58" s="769">
        <f>'4A SWD Case 1'!BG117</f>
        <v>347.38477183678401</v>
      </c>
      <c r="D58" s="3">
        <f>'4B Biological treatment '!T111</f>
        <v>0.92810775328285189</v>
      </c>
      <c r="E58" s="1157">
        <f>'4B Biological treatment '!U111</f>
        <v>41.764848897728335</v>
      </c>
      <c r="F58" s="1157">
        <f>'4B Biological treatment '!W111</f>
        <v>2.5058909338637001</v>
      </c>
      <c r="G58" s="952">
        <f>'4C2 Open-burning '!R118</f>
        <v>8.5137490095967827</v>
      </c>
      <c r="H58" s="952">
        <f>'4C2 Open-burning '!Z118</f>
        <v>2.8646158901313141</v>
      </c>
      <c r="I58" s="952">
        <f>'4C2 Open-burning '!AH118</f>
        <v>3.9880288124551327E-2</v>
      </c>
      <c r="J58" s="987">
        <f>'4D Wastewater treatment and dis'!AV155</f>
        <v>231.97796755845934</v>
      </c>
      <c r="K58" s="770">
        <f>'4D Wastewater treatment and dis'!AW155</f>
        <v>3.74999451512174</v>
      </c>
      <c r="L58" s="771">
        <f t="shared" si="69"/>
        <v>7295.0802085724645</v>
      </c>
      <c r="M58" s="772">
        <f t="shared" si="70"/>
        <v>19.49026281893989</v>
      </c>
      <c r="N58" s="771">
        <f t="shared" si="71"/>
        <v>1653.8880163500421</v>
      </c>
      <c r="O58" s="773">
        <f t="shared" si="72"/>
        <v>81.033572020965295</v>
      </c>
      <c r="P58" s="771">
        <f t="shared" si="73"/>
        <v>6034.0356184153861</v>
      </c>
      <c r="Q58" s="519">
        <f t="shared" si="74"/>
        <v>7295.0802085724645</v>
      </c>
      <c r="R58" s="521">
        <f t="shared" si="75"/>
        <v>1673.3782791689821</v>
      </c>
      <c r="S58" s="518">
        <f t="shared" si="76"/>
        <v>81.033572020965295</v>
      </c>
      <c r="T58" s="519">
        <f t="shared" si="77"/>
        <v>6034.0356184153861</v>
      </c>
      <c r="U58" s="519">
        <f t="shared" si="78"/>
        <v>15083.527678177799</v>
      </c>
      <c r="V58" s="3"/>
      <c r="W58" s="596">
        <f t="shared" si="79"/>
        <v>2048</v>
      </c>
      <c r="X58" s="1101">
        <f t="shared" si="80"/>
        <v>7119.1093713034979</v>
      </c>
      <c r="Y58" s="1102">
        <f t="shared" si="81"/>
        <v>1687.6348557452882</v>
      </c>
      <c r="Z58" s="1102">
        <f t="shared" si="82"/>
        <v>80.926366254145591</v>
      </c>
      <c r="AA58" s="1102">
        <f t="shared" si="83"/>
        <v>6106.6282245986458</v>
      </c>
      <c r="AB58" s="1142">
        <f t="shared" si="22"/>
        <v>14994.298817901577</v>
      </c>
      <c r="AC58" s="1423" t="str">
        <f>IF(OR('Recycling - Case 1'!AC128="No",'Recycling - Case 1'!T168="No"), "No", "Yes")</f>
        <v>Yes</v>
      </c>
      <c r="AD58" s="1101">
        <f t="shared" si="84"/>
        <v>7119.1093713034979</v>
      </c>
      <c r="AE58" s="1102">
        <f t="shared" si="85"/>
        <v>1687.6348557452882</v>
      </c>
      <c r="AF58" s="1102">
        <f t="shared" si="86"/>
        <v>80.926366254145591</v>
      </c>
      <c r="AG58" s="1102">
        <f t="shared" si="87"/>
        <v>6106.6282245986458</v>
      </c>
      <c r="AH58" s="1142">
        <f t="shared" si="60"/>
        <v>14994.298817901577</v>
      </c>
      <c r="AI58" s="1423" t="str">
        <f>IF(OR('Recycling - Case 1'!AI39="No",'Recycling - Case 1'!Z168="No"), "No", "Yes")</f>
        <v>Yes</v>
      </c>
      <c r="AJ58" s="1101">
        <f t="shared" si="88"/>
        <v>6238.8725233033992</v>
      </c>
      <c r="AK58" s="1102">
        <f t="shared" si="89"/>
        <v>1687.6348557452882</v>
      </c>
      <c r="AL58" s="1102">
        <f t="shared" si="90"/>
        <v>95.035731924294083</v>
      </c>
      <c r="AM58" s="1102">
        <f t="shared" si="91"/>
        <v>6190.2078644258199</v>
      </c>
      <c r="AN58" s="1142">
        <f t="shared" si="92"/>
        <v>14211.750975398802</v>
      </c>
      <c r="AO58" s="1416" t="str">
        <f>IF(OR('Recycling - Case 2'!AC128="No",'Recycling - Case 2'!T168="No"), "No", "Yes")</f>
        <v>Yes</v>
      </c>
      <c r="AP58" s="1101">
        <f t="shared" si="93"/>
        <v>6238.8725233033992</v>
      </c>
      <c r="AQ58" s="1102">
        <f t="shared" si="94"/>
        <v>1687.6348557452882</v>
      </c>
      <c r="AR58" s="1102">
        <f t="shared" si="95"/>
        <v>95.035731924294083</v>
      </c>
      <c r="AS58" s="1102">
        <f t="shared" si="96"/>
        <v>6190.2078644258199</v>
      </c>
      <c r="AT58" s="1142">
        <f t="shared" si="37"/>
        <v>14211.750975398802</v>
      </c>
      <c r="AU58" s="1423" t="str">
        <f>IF(OR('Recycling - Case 2'!AC128="No",'Recycling - Case 2'!T208="No"), "No", "Yes")</f>
        <v>Yes</v>
      </c>
      <c r="AV58" s="1101">
        <f t="shared" si="63"/>
        <v>6240.4382770752891</v>
      </c>
      <c r="AW58" s="1102">
        <f t="shared" si="64"/>
        <v>1024.9363100616144</v>
      </c>
      <c r="AX58" s="1102">
        <f t="shared" si="65"/>
        <v>95.035731924294083</v>
      </c>
      <c r="AY58" s="1102">
        <f t="shared" si="66"/>
        <v>6190.2078644258199</v>
      </c>
      <c r="AZ58" s="1142">
        <f t="shared" si="67"/>
        <v>13550.618183487019</v>
      </c>
      <c r="BA58" s="1423" t="str">
        <f>IF(OR('Recycling - Case 3'!AC128="No",'Recycling - Case 3'!T168="No"), "No", "Yes")</f>
        <v>Yes</v>
      </c>
      <c r="BB58" s="1101">
        <f t="shared" si="97"/>
        <v>6240.4382770752891</v>
      </c>
      <c r="BC58" s="1102">
        <f t="shared" si="98"/>
        <v>1024.9363100616144</v>
      </c>
      <c r="BD58" s="1102">
        <f t="shared" si="99"/>
        <v>95.035731924294083</v>
      </c>
      <c r="BE58" s="1102">
        <f t="shared" si="100"/>
        <v>6190.2078644258199</v>
      </c>
      <c r="BF58" s="1142">
        <f t="shared" si="47"/>
        <v>13550.618183487019</v>
      </c>
      <c r="BG58" s="1423" t="str">
        <f>IF(OR('Recycling - Case 3'!AC128="No",'Recycling - Case 3'!T208="No"), "No", "Yes")</f>
        <v>Yes</v>
      </c>
      <c r="BH58" s="596">
        <f t="shared" si="48"/>
        <v>2048</v>
      </c>
      <c r="BI58" s="1102">
        <f>'Recycling - Case 1'!BV128</f>
        <v>76.826041565265527</v>
      </c>
      <c r="BJ58" s="417">
        <f>'Recycling - Case 1'!BW128</f>
        <v>0.77172104263881147</v>
      </c>
      <c r="BK58" s="1142">
        <f>'Recycling - Case 1'!BX128</f>
        <v>0.65514242805035705</v>
      </c>
      <c r="BL58" s="1101">
        <f>'Recycling - Case 1'!BY128</f>
        <v>76.826041565265527</v>
      </c>
      <c r="BM58" s="417">
        <f>'Recycling - Case 1'!BZ128</f>
        <v>0.77172104263881147</v>
      </c>
      <c r="BN58" s="1142">
        <f>'Recycling - Case 1'!CA128</f>
        <v>0.65514242805035705</v>
      </c>
      <c r="BO58" s="1102">
        <f>'Recycling - Case 2'!BV128</f>
        <v>77.201708249624033</v>
      </c>
      <c r="BP58" s="417">
        <f>'Recycling - Case 2'!BW128</f>
        <v>0.79382907027847094</v>
      </c>
      <c r="BQ58" s="1142">
        <f>'Recycling - Case 2'!BX128</f>
        <v>0.65514242805035705</v>
      </c>
      <c r="BR58" s="1101">
        <f>'Recycling - Case 2'!BY128</f>
        <v>77.201708249624033</v>
      </c>
      <c r="BS58" s="417">
        <f>'Recycling - Case 2'!BZ128</f>
        <v>0.79382907027847094</v>
      </c>
      <c r="BT58" s="1142">
        <f>'Recycling - Case 2'!CA128</f>
        <v>0.65514242805035705</v>
      </c>
      <c r="BU58" s="1102">
        <f>'Recycling - Case 3'!BV128</f>
        <v>77.201708249624033</v>
      </c>
      <c r="BV58" s="417">
        <f>'Recycling - Case 3'!BW128</f>
        <v>0.79382907027847094</v>
      </c>
      <c r="BW58" s="1142">
        <f>'Recycling - Case 3'!BX128</f>
        <v>0.65514242805035705</v>
      </c>
      <c r="BX58" s="1101">
        <f>'Recycling - Case 3'!BY128</f>
        <v>77.201708249624033</v>
      </c>
      <c r="BY58" s="417">
        <f>'Recycling - Case 3'!BZ128</f>
        <v>0.79382907027847094</v>
      </c>
      <c r="BZ58" s="1142">
        <f>'Recycling - Case 3'!CA128</f>
        <v>0.65514242805035705</v>
      </c>
      <c r="CA58" s="596">
        <v>2048</v>
      </c>
      <c r="CB58" s="649">
        <f>'Recycling - Case 1'!CB128</f>
        <v>0.42949384463559215</v>
      </c>
      <c r="CC58" s="417">
        <f>'Recycling - Case 1'!CC128</f>
        <v>0.4154254996192146</v>
      </c>
      <c r="CD58" s="417">
        <f>'Recycling - Case 1'!CD128</f>
        <v>0.42949384463559215</v>
      </c>
      <c r="CE58" s="525">
        <f>'Recycling - Case 1'!CE128</f>
        <v>0.4154254996192146</v>
      </c>
      <c r="CF58" s="649">
        <f>'Recycling - Case 2'!CB128</f>
        <v>0.3706677901680655</v>
      </c>
      <c r="CG58" s="417">
        <f>'Recycling - Case 2'!CC128</f>
        <v>0.43025563637690944</v>
      </c>
      <c r="CH58" s="417">
        <f>'Recycling - Case 2'!CD128</f>
        <v>0.3706677901680655</v>
      </c>
      <c r="CI58" s="525">
        <f>'Recycling - Case 2'!CE128</f>
        <v>0.43025563637690944</v>
      </c>
      <c r="CJ58" s="649">
        <f>'Recycling - Case 3'!CB128</f>
        <v>0.3706677901680655</v>
      </c>
      <c r="CK58" s="417">
        <f>'Recycling - Case 3'!CC128</f>
        <v>0.43025563637690944</v>
      </c>
      <c r="CL58" s="417">
        <f>'Recycling - Case 3'!CD128</f>
        <v>0.3706677901680655</v>
      </c>
      <c r="CM58" s="525">
        <f>'Recycling - Case 3'!CE128</f>
        <v>0.43025563637690944</v>
      </c>
    </row>
    <row r="59" spans="1:91">
      <c r="A59" s="4">
        <f>'Input data'!A148</f>
        <v>2048</v>
      </c>
      <c r="B59" s="4"/>
      <c r="C59" s="769">
        <f>'4A SWD Case 1'!BG118</f>
        <v>339.00520815730943</v>
      </c>
      <c r="D59" s="3">
        <f>'4B Biological treatment '!T112</f>
        <v>0.93601489503343793</v>
      </c>
      <c r="E59" s="1157">
        <f>'4B Biological treatment '!U112</f>
        <v>42.120670276504697</v>
      </c>
      <c r="F59" s="1157">
        <f>'4B Biological treatment '!W112</f>
        <v>2.5272402165902821</v>
      </c>
      <c r="G59" s="952">
        <f>'4C2 Open-burning '!R119</f>
        <v>8.502485492904615</v>
      </c>
      <c r="H59" s="952">
        <f>'4C2 Open-burning '!Z119</f>
        <v>2.8608260616011587</v>
      </c>
      <c r="I59" s="952">
        <f>'4C2 Open-burning '!AH119</f>
        <v>3.9827527314892378E-2</v>
      </c>
      <c r="J59" s="987">
        <f>'4D Wastewater treatment and dis'!AV156</f>
        <v>235.15216938634282</v>
      </c>
      <c r="K59" s="770">
        <f>'4D Wastewater treatment and dis'!AW156</f>
        <v>3.769137637049826</v>
      </c>
      <c r="L59" s="771">
        <f t="shared" si="69"/>
        <v>7119.1093713034979</v>
      </c>
      <c r="M59" s="772">
        <f t="shared" si="70"/>
        <v>19.656312795702195</v>
      </c>
      <c r="N59" s="771">
        <f t="shared" si="71"/>
        <v>1667.978542949586</v>
      </c>
      <c r="O59" s="773">
        <f t="shared" si="72"/>
        <v>80.926366254145591</v>
      </c>
      <c r="P59" s="771">
        <f t="shared" si="73"/>
        <v>6106.6282245986458</v>
      </c>
      <c r="Q59" s="519">
        <f t="shared" si="74"/>
        <v>7119.1093713034979</v>
      </c>
      <c r="R59" s="521">
        <f t="shared" si="75"/>
        <v>1687.6348557452882</v>
      </c>
      <c r="S59" s="518">
        <f t="shared" si="76"/>
        <v>80.926366254145591</v>
      </c>
      <c r="T59" s="519">
        <f t="shared" si="77"/>
        <v>6106.6282245986458</v>
      </c>
      <c r="U59" s="519">
        <f t="shared" si="78"/>
        <v>14994.298817901577</v>
      </c>
      <c r="V59" s="3"/>
      <c r="W59" s="596">
        <f t="shared" si="79"/>
        <v>2049</v>
      </c>
      <c r="X59" s="1101">
        <f t="shared" si="80"/>
        <v>6948.9170564472624</v>
      </c>
      <c r="Y59" s="1102">
        <f t="shared" si="81"/>
        <v>1701.4762295212363</v>
      </c>
      <c r="Z59" s="1102">
        <f t="shared" si="82"/>
        <v>80.81998611074799</v>
      </c>
      <c r="AA59" s="1102">
        <f t="shared" si="83"/>
        <v>6179.8047347637312</v>
      </c>
      <c r="AB59" s="1142">
        <f t="shared" si="22"/>
        <v>14911.018006842978</v>
      </c>
      <c r="AC59" s="1423" t="str">
        <f>IF(OR('Recycling - Case 1'!AC129="No",'Recycling - Case 1'!T169="No"), "No", "Yes")</f>
        <v>Yes</v>
      </c>
      <c r="AD59" s="1101">
        <f t="shared" si="84"/>
        <v>6948.9170564472624</v>
      </c>
      <c r="AE59" s="1102">
        <f t="shared" si="85"/>
        <v>1701.4762295212363</v>
      </c>
      <c r="AF59" s="1102">
        <f t="shared" si="86"/>
        <v>80.81998611074799</v>
      </c>
      <c r="AG59" s="1102">
        <f t="shared" si="87"/>
        <v>6179.8047347637312</v>
      </c>
      <c r="AH59" s="1142">
        <f t="shared" si="60"/>
        <v>14911.018006842978</v>
      </c>
      <c r="AI59" s="1423" t="str">
        <f>IF(OR('Recycling - Case 1'!AI40="No",'Recycling - Case 1'!Z169="No"), "No", "Yes")</f>
        <v>Yes</v>
      </c>
      <c r="AJ59" s="1101">
        <f t="shared" si="88"/>
        <v>6108.0477358300896</v>
      </c>
      <c r="AK59" s="1102">
        <f t="shared" si="89"/>
        <v>1701.4762295212363</v>
      </c>
      <c r="AL59" s="1102">
        <f t="shared" si="90"/>
        <v>94.889057356937755</v>
      </c>
      <c r="AM59" s="1102">
        <f t="shared" si="91"/>
        <v>6221.8078850207985</v>
      </c>
      <c r="AN59" s="1142">
        <f t="shared" si="92"/>
        <v>14126.220907729061</v>
      </c>
      <c r="AO59" s="1416" t="str">
        <f>IF(OR('Recycling - Case 2'!AC129="No",'Recycling - Case 2'!T169="No"), "No", "Yes")</f>
        <v>Yes</v>
      </c>
      <c r="AP59" s="1101">
        <f t="shared" si="93"/>
        <v>6108.0477358300896</v>
      </c>
      <c r="AQ59" s="1102">
        <f t="shared" si="94"/>
        <v>1701.4762295212363</v>
      </c>
      <c r="AR59" s="1102">
        <f t="shared" si="95"/>
        <v>94.889057356937755</v>
      </c>
      <c r="AS59" s="1102">
        <f t="shared" si="96"/>
        <v>6221.8078850207985</v>
      </c>
      <c r="AT59" s="1142">
        <f t="shared" si="37"/>
        <v>14126.220907729061</v>
      </c>
      <c r="AU59" s="1423" t="str">
        <f>IF(OR('Recycling - Case 2'!AC129="No",'Recycling - Case 2'!T209="No"), "No", "Yes")</f>
        <v>Yes</v>
      </c>
      <c r="AV59" s="1101">
        <f t="shared" si="63"/>
        <v>6109.6505513530101</v>
      </c>
      <c r="AW59" s="1102">
        <f t="shared" si="64"/>
        <v>1033.342468844012</v>
      </c>
      <c r="AX59" s="1102">
        <f t="shared" si="65"/>
        <v>94.889057356937755</v>
      </c>
      <c r="AY59" s="1102">
        <f t="shared" si="66"/>
        <v>6221.8078850207985</v>
      </c>
      <c r="AZ59" s="1142">
        <f t="shared" si="67"/>
        <v>13459.689962574757</v>
      </c>
      <c r="BA59" s="1423" t="str">
        <f>IF(OR('Recycling - Case 3'!AC129="No",'Recycling - Case 3'!T169="No"), "No", "Yes")</f>
        <v>Yes</v>
      </c>
      <c r="BB59" s="1101">
        <f t="shared" si="97"/>
        <v>6109.6505513530101</v>
      </c>
      <c r="BC59" s="1102">
        <f t="shared" si="98"/>
        <v>1033.342468844012</v>
      </c>
      <c r="BD59" s="1102">
        <f t="shared" si="99"/>
        <v>94.889057356937755</v>
      </c>
      <c r="BE59" s="1102">
        <f t="shared" si="100"/>
        <v>6221.8078850207985</v>
      </c>
      <c r="BF59" s="1142">
        <f t="shared" si="47"/>
        <v>13459.689962574757</v>
      </c>
      <c r="BG59" s="1423" t="str">
        <f>IF(OR('Recycling - Case 3'!AC129="No",'Recycling - Case 3'!T209="No"), "No", "Yes")</f>
        <v>Yes</v>
      </c>
      <c r="BH59" s="596">
        <f t="shared" si="48"/>
        <v>2049</v>
      </c>
      <c r="BI59" s="1102">
        <f>'Recycling - Case 1'!BV129</f>
        <v>76.899276675732651</v>
      </c>
      <c r="BJ59" s="417">
        <f>'Recycling - Case 1'!BW129</f>
        <v>0.78277317764568066</v>
      </c>
      <c r="BK59" s="1142">
        <f>'Recycling - Case 1'!BX129</f>
        <v>0.44501889298666047</v>
      </c>
      <c r="BL59" s="1101">
        <f>'Recycling - Case 1'!BY129</f>
        <v>76.899276675732651</v>
      </c>
      <c r="BM59" s="417">
        <f>'Recycling - Case 1'!BZ129</f>
        <v>0.78277317764568066</v>
      </c>
      <c r="BN59" s="1142">
        <f>'Recycling - Case 1'!CA129</f>
        <v>0.44501889298666047</v>
      </c>
      <c r="BO59" s="1102">
        <f>'Recycling - Case 2'!BV129</f>
        <v>78.074607583858437</v>
      </c>
      <c r="BP59" s="417">
        <f>'Recycling - Case 2'!BW129</f>
        <v>0.79613412787481053</v>
      </c>
      <c r="BQ59" s="1142">
        <f>'Recycling - Case 2'!BX129</f>
        <v>0.44501889298666047</v>
      </c>
      <c r="BR59" s="1101">
        <f>'Recycling - Case 2'!BY129</f>
        <v>78.074607583858437</v>
      </c>
      <c r="BS59" s="417">
        <f>'Recycling - Case 2'!BZ129</f>
        <v>0.79613412787481053</v>
      </c>
      <c r="BT59" s="1142">
        <f>'Recycling - Case 2'!CA129</f>
        <v>0.44501889298666047</v>
      </c>
      <c r="BU59" s="1102">
        <f>'Recycling - Case 3'!BV129</f>
        <v>78.074607583858437</v>
      </c>
      <c r="BV59" s="417">
        <f>'Recycling - Case 3'!BW129</f>
        <v>0.79613412787481053</v>
      </c>
      <c r="BW59" s="1142">
        <f>'Recycling - Case 3'!BX129</f>
        <v>0.44501889298666047</v>
      </c>
      <c r="BX59" s="1101">
        <f>'Recycling - Case 3'!BY129</f>
        <v>78.074607583858437</v>
      </c>
      <c r="BY59" s="417">
        <f>'Recycling - Case 3'!BZ129</f>
        <v>0.79613412787481053</v>
      </c>
      <c r="BZ59" s="1142">
        <f>'Recycling - Case 3'!CA129</f>
        <v>0.44501889298666047</v>
      </c>
      <c r="CA59" s="596">
        <v>2049</v>
      </c>
      <c r="CB59" s="649">
        <f>'Recycling - Case 1'!CB129</f>
        <v>0.43102944159952994</v>
      </c>
      <c r="CC59" s="417">
        <f>'Recycling - Case 1'!CC129</f>
        <v>0.42605901340901708</v>
      </c>
      <c r="CD59" s="417">
        <f>'Recycling - Case 1'!CD129</f>
        <v>0.43102944159952994</v>
      </c>
      <c r="CE59" s="525">
        <f>'Recycling - Case 1'!CE129</f>
        <v>0.42605901340901708</v>
      </c>
      <c r="CF59" s="649">
        <f>'Recycling - Case 2'!CB129</f>
        <v>0.37223532617222466</v>
      </c>
      <c r="CG59" s="417">
        <f>'Recycling - Case 2'!CC129</f>
        <v>0.43288463114800246</v>
      </c>
      <c r="CH59" s="417">
        <f>'Recycling - Case 2'!CD129</f>
        <v>0.37223532617222466</v>
      </c>
      <c r="CI59" s="525">
        <f>'Recycling - Case 2'!CE129</f>
        <v>0.43288463114800246</v>
      </c>
      <c r="CJ59" s="649">
        <f>'Recycling - Case 3'!CB129</f>
        <v>0.37223532617222466</v>
      </c>
      <c r="CK59" s="417">
        <f>'Recycling - Case 3'!CC129</f>
        <v>0.43288463114800246</v>
      </c>
      <c r="CL59" s="417">
        <f>'Recycling - Case 3'!CD129</f>
        <v>0.37223532617222466</v>
      </c>
      <c r="CM59" s="525">
        <f>'Recycling - Case 3'!CE129</f>
        <v>0.43288463114800246</v>
      </c>
    </row>
    <row r="60" spans="1:91" ht="15.75" thickBot="1">
      <c r="A60" s="4">
        <f>'Input data'!A149</f>
        <v>2049</v>
      </c>
      <c r="B60" s="4"/>
      <c r="C60" s="769">
        <f>'4A SWD Case 1'!BG119</f>
        <v>330.90081221177439</v>
      </c>
      <c r="D60" s="3">
        <f>'4B Biological treatment '!T113</f>
        <v>0.94369175236896097</v>
      </c>
      <c r="E60" s="1157">
        <f>'4B Biological treatment '!U113</f>
        <v>42.466128856603234</v>
      </c>
      <c r="F60" s="1157">
        <f>'4B Biological treatment '!W113</f>
        <v>2.5479677313961941</v>
      </c>
      <c r="G60" s="952">
        <f>'4C2 Open-burning '!R120</f>
        <v>8.491308719896784</v>
      </c>
      <c r="H60" s="952">
        <f>'4C2 Open-burning '!Z120</f>
        <v>2.8570654196650942</v>
      </c>
      <c r="I60" s="952">
        <f>'4C2 Open-burning '!AH120</f>
        <v>3.9775172831884656E-2</v>
      </c>
      <c r="J60" s="987">
        <f>'4D Wastewater treatment and dis'!AV157</f>
        <v>238.35273359440882</v>
      </c>
      <c r="K60" s="770">
        <f>'4D Wastewater treatment and dis'!AW157</f>
        <v>3.7883784815520856</v>
      </c>
      <c r="L60" s="771">
        <f t="shared" si="69"/>
        <v>6948.9170564472624</v>
      </c>
      <c r="M60" s="772">
        <f t="shared" si="70"/>
        <v>19.81752679974818</v>
      </c>
      <c r="N60" s="771">
        <f t="shared" si="71"/>
        <v>1681.6587027214882</v>
      </c>
      <c r="O60" s="773">
        <f t="shared" si="72"/>
        <v>80.81998611074799</v>
      </c>
      <c r="P60" s="771">
        <f t="shared" si="73"/>
        <v>6179.8047347637312</v>
      </c>
      <c r="Q60" s="519">
        <f t="shared" si="74"/>
        <v>6948.9170564472624</v>
      </c>
      <c r="R60" s="521">
        <f t="shared" si="75"/>
        <v>1701.4762295212363</v>
      </c>
      <c r="S60" s="518">
        <f t="shared" si="76"/>
        <v>80.81998611074799</v>
      </c>
      <c r="T60" s="519">
        <f t="shared" si="77"/>
        <v>6179.8047347637312</v>
      </c>
      <c r="U60" s="519">
        <f t="shared" si="78"/>
        <v>14911.018006842978</v>
      </c>
      <c r="V60" s="3"/>
      <c r="W60" s="1143">
        <f t="shared" si="79"/>
        <v>2050</v>
      </c>
      <c r="X60" s="1147">
        <f t="shared" si="80"/>
        <v>6784.4276220287993</v>
      </c>
      <c r="Y60" s="1144">
        <f t="shared" si="81"/>
        <v>1715.7337819075735</v>
      </c>
      <c r="Z60" s="1144">
        <f t="shared" si="82"/>
        <v>80.714423453015158</v>
      </c>
      <c r="AA60" s="1144">
        <f t="shared" si="83"/>
        <v>6253.5692186643009</v>
      </c>
      <c r="AB60" s="1145">
        <f t="shared" si="22"/>
        <v>14834.445046053688</v>
      </c>
      <c r="AC60" s="1423" t="str">
        <f>IF(OR('Recycling - Case 1'!AC130="No",'Recycling - Case 1'!T170="No"), "No", "Yes")</f>
        <v>Yes</v>
      </c>
      <c r="AD60" s="1147">
        <f t="shared" si="84"/>
        <v>6784.4276220287993</v>
      </c>
      <c r="AE60" s="1144">
        <f t="shared" si="85"/>
        <v>1715.7337819075735</v>
      </c>
      <c r="AF60" s="1144">
        <f t="shared" si="86"/>
        <v>80.714423453015158</v>
      </c>
      <c r="AG60" s="1144">
        <f t="shared" si="87"/>
        <v>6253.5692186643009</v>
      </c>
      <c r="AH60" s="1145">
        <f t="shared" si="60"/>
        <v>14834.445046053688</v>
      </c>
      <c r="AI60" s="1423" t="str">
        <f>IF(OR('Recycling - Case 1'!AI41="No",'Recycling - Case 1'!Z170="No"), "No", "Yes")</f>
        <v>Yes</v>
      </c>
      <c r="AJ60" s="1147">
        <f t="shared" si="88"/>
        <v>5984.7919058767875</v>
      </c>
      <c r="AK60" s="1144">
        <f t="shared" si="89"/>
        <v>1715.7337819075735</v>
      </c>
      <c r="AL60" s="1144">
        <f t="shared" si="90"/>
        <v>94.743576348754203</v>
      </c>
      <c r="AM60" s="1144">
        <f t="shared" si="91"/>
        <v>6253.5692186643009</v>
      </c>
      <c r="AN60" s="1145">
        <f t="shared" si="92"/>
        <v>14048.838482797415</v>
      </c>
      <c r="AO60" s="1416" t="str">
        <f>IF(OR('Recycling - Case 2'!AC130="No",'Recycling - Case 2'!T170="No"), "No", "Yes")</f>
        <v>Yes</v>
      </c>
      <c r="AP60" s="1147">
        <f t="shared" si="93"/>
        <v>5984.7919058767875</v>
      </c>
      <c r="AQ60" s="1144">
        <f t="shared" si="94"/>
        <v>1715.7337819075735</v>
      </c>
      <c r="AR60" s="1144">
        <f t="shared" si="95"/>
        <v>94.743576348754203</v>
      </c>
      <c r="AS60" s="1144">
        <f t="shared" si="96"/>
        <v>6253.5692186643009</v>
      </c>
      <c r="AT60" s="1145">
        <f t="shared" si="37"/>
        <v>14048.838482797415</v>
      </c>
      <c r="AU60" s="1423" t="str">
        <f>IF(OR('Recycling - Case 2'!AC130="No",'Recycling - Case 2'!T210="No"), "No", "Yes")</f>
        <v>Yes</v>
      </c>
      <c r="AV60" s="1147">
        <f t="shared" si="63"/>
        <v>5986.430279508254</v>
      </c>
      <c r="AW60" s="1144">
        <f t="shared" si="64"/>
        <v>1042.0013816909557</v>
      </c>
      <c r="AX60" s="1144">
        <f t="shared" si="65"/>
        <v>94.743576348754203</v>
      </c>
      <c r="AY60" s="1144">
        <f t="shared" si="66"/>
        <v>6253.5692186643009</v>
      </c>
      <c r="AZ60" s="1145">
        <f t="shared" si="67"/>
        <v>13376.744456212266</v>
      </c>
      <c r="BA60" s="1423" t="str">
        <f>IF(OR('Recycling - Case 3'!AC130="No",'Recycling - Case 3'!T170="No"), "No", "Yes")</f>
        <v>Yes</v>
      </c>
      <c r="BB60" s="1147">
        <f t="shared" si="97"/>
        <v>5986.430279508254</v>
      </c>
      <c r="BC60" s="1144">
        <f t="shared" si="98"/>
        <v>1042.0013816909557</v>
      </c>
      <c r="BD60" s="1144">
        <f t="shared" si="99"/>
        <v>94.743576348754203</v>
      </c>
      <c r="BE60" s="1144">
        <f t="shared" si="100"/>
        <v>6253.5692186643009</v>
      </c>
      <c r="BF60" s="1145">
        <f t="shared" si="47"/>
        <v>13376.744456212266</v>
      </c>
      <c r="BG60" s="1423" t="str">
        <f>IF(OR('Recycling - Case 3'!AC130="No",'Recycling - Case 3'!T210="No"), "No", "Yes")</f>
        <v>Yes</v>
      </c>
      <c r="BH60" s="1143">
        <f t="shared" si="48"/>
        <v>2050</v>
      </c>
      <c r="BI60" s="1144">
        <f>'Recycling - Case 1'!BV130</f>
        <v>77.045303490688354</v>
      </c>
      <c r="BJ60" s="651">
        <f>'Recycling - Case 1'!BW130</f>
        <v>0.79341053581755405</v>
      </c>
      <c r="BK60" s="1145">
        <f>'Recycling - Case 1'!BX130</f>
        <v>0.23489535792296398</v>
      </c>
      <c r="BL60" s="1147">
        <f>'Recycling - Case 1'!BY130</f>
        <v>77.045303490688354</v>
      </c>
      <c r="BM60" s="651">
        <f>'Recycling - Case 1'!BZ130</f>
        <v>0.79341053581755405</v>
      </c>
      <c r="BN60" s="1145">
        <f>'Recycling - Case 1'!CA130</f>
        <v>0.23489535792296398</v>
      </c>
      <c r="BO60" s="1144">
        <f>'Recycling - Case 2'!BV130</f>
        <v>78.975001711193556</v>
      </c>
      <c r="BP60" s="651">
        <f>'Recycling - Case 2'!BW130</f>
        <v>0.79845840302578586</v>
      </c>
      <c r="BQ60" s="1145">
        <f>'Recycling - Case 2'!BX130</f>
        <v>0.23489535792296398</v>
      </c>
      <c r="BR60" s="1147">
        <f>'Recycling - Case 2'!BY130</f>
        <v>78.975001711193556</v>
      </c>
      <c r="BS60" s="651">
        <f>'Recycling - Case 2'!BZ130</f>
        <v>0.79845840302578586</v>
      </c>
      <c r="BT60" s="1145">
        <f>'Recycling - Case 2'!CA130</f>
        <v>0.23489535792296398</v>
      </c>
      <c r="BU60" s="1144">
        <f>'Recycling - Case 3'!BV130</f>
        <v>78.975001711193556</v>
      </c>
      <c r="BV60" s="651">
        <f>'Recycling - Case 3'!BW130</f>
        <v>0.79845840302578586</v>
      </c>
      <c r="BW60" s="1145">
        <f>'Recycling - Case 3'!BX130</f>
        <v>0.23489535792296398</v>
      </c>
      <c r="BX60" s="1147">
        <f>'Recycling - Case 3'!BY130</f>
        <v>78.975001711193556</v>
      </c>
      <c r="BY60" s="651">
        <f>'Recycling - Case 3'!BZ130</f>
        <v>0.79845840302578586</v>
      </c>
      <c r="BZ60" s="1145">
        <f>'Recycling - Case 3'!CA130</f>
        <v>0.23489535792296398</v>
      </c>
      <c r="CA60" s="1143">
        <v>2050</v>
      </c>
      <c r="CB60" s="650">
        <f>'Recycling - Case 1'!CB130</f>
        <v>0.43255685448712144</v>
      </c>
      <c r="CC60" s="651">
        <f>'Recycling - Case 1'!CC130</f>
        <v>0.43595199201773283</v>
      </c>
      <c r="CD60" s="651">
        <f>'Recycling - Case 1'!CD130</f>
        <v>0.43255685448712144</v>
      </c>
      <c r="CE60" s="652">
        <f>'Recycling - Case 1'!CE130</f>
        <v>0.43595199201773283</v>
      </c>
      <c r="CF60" s="650">
        <f>'Recycling - Case 2'!CB130</f>
        <v>0.37379435129462157</v>
      </c>
      <c r="CG60" s="651">
        <f>'Recycling - Case 2'!CC130</f>
        <v>0.43550183362464157</v>
      </c>
      <c r="CH60" s="651">
        <f>'Recycling - Case 2'!CD130</f>
        <v>0.37379435129462157</v>
      </c>
      <c r="CI60" s="652">
        <f>'Recycling - Case 2'!CE130</f>
        <v>0.43550183362464157</v>
      </c>
      <c r="CJ60" s="650">
        <f>'Recycling - Case 3'!CB130</f>
        <v>0.37379435129462157</v>
      </c>
      <c r="CK60" s="651">
        <f>'Recycling - Case 3'!CC130</f>
        <v>0.43550183362464157</v>
      </c>
      <c r="CL60" s="651">
        <f>'Recycling - Case 3'!CD130</f>
        <v>0.37379435129462157</v>
      </c>
      <c r="CM60" s="652">
        <f>'Recycling - Case 3'!CE130</f>
        <v>0.43550183362464157</v>
      </c>
    </row>
    <row r="61" spans="1:91">
      <c r="A61" s="4">
        <f>'Input data'!A150</f>
        <v>2050</v>
      </c>
      <c r="B61" s="4"/>
      <c r="C61" s="769">
        <f>'4A SWD Case 1'!BG120</f>
        <v>323.06798200137138</v>
      </c>
      <c r="D61" s="3">
        <f>'4B Biological treatment '!T114</f>
        <v>0.95159943533420632</v>
      </c>
      <c r="E61" s="1157">
        <f>'4B Biological treatment '!U114</f>
        <v>42.821974590039275</v>
      </c>
      <c r="F61" s="1157">
        <f>'4B Biological treatment '!W114</f>
        <v>2.5693184754023566</v>
      </c>
      <c r="G61" s="952">
        <f>'4C2 Open-burning '!R121</f>
        <v>8.480217835584158</v>
      </c>
      <c r="H61" s="952">
        <f>'4C2 Open-burning '!Z121</f>
        <v>2.8533336766454509</v>
      </c>
      <c r="I61" s="952">
        <f>'4C2 Open-burning '!AH121</f>
        <v>3.9723220670569465E-2</v>
      </c>
      <c r="J61" s="987">
        <f>'4D Wastewater treatment and dis'!AV158</f>
        <v>241.57984661635467</v>
      </c>
      <c r="K61" s="770">
        <f>'4D Wastewater treatment and dis'!AW158</f>
        <v>3.8077175474866229</v>
      </c>
      <c r="L61" s="771">
        <f t="shared" si="69"/>
        <v>6784.4276220287993</v>
      </c>
      <c r="M61" s="772">
        <f t="shared" si="70"/>
        <v>19.983588142018334</v>
      </c>
      <c r="N61" s="771">
        <f t="shared" si="71"/>
        <v>1695.7501937655552</v>
      </c>
      <c r="O61" s="773">
        <f t="shared" si="72"/>
        <v>80.714423453015158</v>
      </c>
      <c r="P61" s="771">
        <f t="shared" si="73"/>
        <v>6253.5692186643009</v>
      </c>
      <c r="Q61" s="471">
        <f t="shared" si="74"/>
        <v>6784.4276220287993</v>
      </c>
      <c r="R61" s="517">
        <f t="shared" si="75"/>
        <v>1715.7337819075735</v>
      </c>
      <c r="S61" s="514">
        <f t="shared" si="76"/>
        <v>80.714423453015158</v>
      </c>
      <c r="T61" s="471">
        <f t="shared" si="77"/>
        <v>6253.5692186643009</v>
      </c>
      <c r="U61" s="471">
        <f t="shared" si="78"/>
        <v>14834.445046053688</v>
      </c>
      <c r="AJ61" s="53"/>
      <c r="AK61" s="53"/>
      <c r="AL61" s="53"/>
      <c r="AM61" s="53"/>
      <c r="AN61" s="53"/>
      <c r="AP61" s="519"/>
      <c r="AQ61" s="519"/>
      <c r="AR61" s="519"/>
      <c r="AS61" s="519"/>
      <c r="AT61" s="519"/>
      <c r="AU61" s="1417"/>
      <c r="AV61" s="519"/>
      <c r="AW61" s="519"/>
      <c r="AX61" s="519"/>
      <c r="AY61" s="519"/>
      <c r="AZ61" s="519"/>
      <c r="BA61" s="1425"/>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7"/>
      <c r="AV62" s="519"/>
      <c r="AW62" s="519"/>
      <c r="AX62" s="519"/>
      <c r="AY62" s="519"/>
      <c r="AZ62" s="519"/>
      <c r="BB62" s="519"/>
      <c r="BC62" s="519"/>
      <c r="BD62" s="519"/>
      <c r="BE62" s="519"/>
      <c r="BF62" s="519"/>
    </row>
    <row r="63" spans="1:91">
      <c r="A63" s="4">
        <f>'Input data'!A118</f>
        <v>2018</v>
      </c>
      <c r="B63" s="4"/>
      <c r="C63" s="769">
        <f>'4A SWD Case 1'!BN88</f>
        <v>820.5169947820342</v>
      </c>
      <c r="D63" s="3">
        <f>'4B Biological treatment '!T116</f>
        <v>0.32115863087580998</v>
      </c>
      <c r="E63" s="1157">
        <f>'4B Biological treatment '!U116</f>
        <v>20.384176057159792</v>
      </c>
      <c r="F63" s="1157">
        <f>'4B Biological treatment '!W116</f>
        <v>1.2230505634295874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17230.856890422718</v>
      </c>
      <c r="M63" s="772">
        <f t="shared" ref="M63:M95" si="102">D63*$B$3</f>
        <v>6.7443312483920099</v>
      </c>
      <c r="N63" s="771">
        <f t="shared" ref="N63:N95" si="103">E63*$B$3+F63*$C$3</f>
        <v>807.21337186352775</v>
      </c>
      <c r="O63" s="773">
        <f t="shared" ref="O63:O95" si="104">G63+H63*$B$3+I63*$C$3</f>
        <v>313.05069559326625</v>
      </c>
      <c r="P63" s="771">
        <f t="shared" ref="P63:P95" si="105">J63*$B$3+K63*$C$3</f>
        <v>3728.7332486308678</v>
      </c>
      <c r="Q63" s="471">
        <f t="shared" ref="Q63:Q95" si="106">L63</f>
        <v>17230.856890422718</v>
      </c>
      <c r="R63" s="517">
        <f t="shared" ref="R63:R95" si="107">M63+N63</f>
        <v>813.95770311191973</v>
      </c>
      <c r="S63" s="514">
        <f t="shared" ref="S63:S95" si="108">O63</f>
        <v>313.05069559326625</v>
      </c>
      <c r="T63" s="471">
        <f t="shared" ref="T63:T95" si="109">P63</f>
        <v>3728.7332486308678</v>
      </c>
      <c r="U63" s="471">
        <f t="shared" ref="U63:U95" si="110">SUM(Q63:T63)</f>
        <v>22086.598537758771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801.61949135232783</v>
      </c>
      <c r="D64" s="3">
        <f>'4B Biological treatment '!T117</f>
        <v>0.43039261674586826</v>
      </c>
      <c r="E64" s="1157">
        <f>'4B Biological treatment '!U117</f>
        <v>24.180714260811577</v>
      </c>
      <c r="F64" s="1157">
        <f>'4B Biological treatment '!W117</f>
        <v>1.4508428556486945</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16834.009318398883</v>
      </c>
      <c r="M64" s="772">
        <f t="shared" si="102"/>
        <v>9.0382449516632342</v>
      </c>
      <c r="N64" s="771">
        <f t="shared" si="103"/>
        <v>957.55628472813851</v>
      </c>
      <c r="O64" s="773">
        <f t="shared" si="104"/>
        <v>304.9221239283998</v>
      </c>
      <c r="P64" s="771">
        <f t="shared" si="105"/>
        <v>3821.6612855587077</v>
      </c>
      <c r="Q64" s="519">
        <f t="shared" si="106"/>
        <v>16834.009318398883</v>
      </c>
      <c r="R64" s="521">
        <f t="shared" si="107"/>
        <v>966.59452967980178</v>
      </c>
      <c r="S64" s="518">
        <f t="shared" si="108"/>
        <v>304.9221239283998</v>
      </c>
      <c r="T64" s="519">
        <f t="shared" si="109"/>
        <v>3821.6612855587077</v>
      </c>
      <c r="U64" s="519">
        <f t="shared" si="110"/>
        <v>21927.187257565794</v>
      </c>
      <c r="X64" s="104"/>
      <c r="Y64" s="1400"/>
      <c r="Z64" s="1400"/>
      <c r="AA64" s="1398"/>
      <c r="AB64" s="1141"/>
      <c r="AC64" s="1401"/>
      <c r="AD64" s="1401"/>
      <c r="AE64" s="1141"/>
      <c r="AF64" s="1141"/>
      <c r="AG64" s="1141"/>
      <c r="AH64" s="1402"/>
      <c r="AI64" s="1421"/>
      <c r="AJ64" s="529"/>
      <c r="AK64" s="529"/>
      <c r="AL64" s="529"/>
      <c r="AM64" s="529"/>
      <c r="AN64" s="529"/>
      <c r="AO64" s="1420"/>
      <c r="AP64" s="529"/>
      <c r="AQ64" s="104"/>
    </row>
    <row r="65" spans="1:43">
      <c r="A65" s="4">
        <f>'Input data'!A120</f>
        <v>2020</v>
      </c>
      <c r="B65" s="4"/>
      <c r="C65" s="769">
        <f>'4A SWD Case 1'!BN90</f>
        <v>780.89298022480284</v>
      </c>
      <c r="D65" s="3">
        <f>'4B Biological treatment '!T118</f>
        <v>0.47546448968028188</v>
      </c>
      <c r="E65" s="1157">
        <f>'4B Biological treatment '!U118</f>
        <v>24.84727854473519</v>
      </c>
      <c r="F65" s="1157">
        <f>'4B Biological treatment '!W118</f>
        <v>1.4908367126841111</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16398.75258472086</v>
      </c>
      <c r="M65" s="772">
        <f t="shared" si="102"/>
        <v>9.9847542832859197</v>
      </c>
      <c r="N65" s="771">
        <f t="shared" si="103"/>
        <v>983.95223037151345</v>
      </c>
      <c r="O65" s="773">
        <f t="shared" si="104"/>
        <v>296.95916503445704</v>
      </c>
      <c r="P65" s="771">
        <f t="shared" si="105"/>
        <v>3916.619774427455</v>
      </c>
      <c r="Q65" s="519">
        <f t="shared" si="106"/>
        <v>16398.75258472086</v>
      </c>
      <c r="R65" s="521">
        <f t="shared" si="107"/>
        <v>993.9369846547994</v>
      </c>
      <c r="S65" s="518">
        <f t="shared" si="108"/>
        <v>296.95916503445704</v>
      </c>
      <c r="T65" s="519">
        <f t="shared" si="109"/>
        <v>3916.619774427455</v>
      </c>
      <c r="U65" s="519">
        <f t="shared" si="110"/>
        <v>21606.268508837569</v>
      </c>
      <c r="X65" s="104"/>
      <c r="Y65" s="104"/>
      <c r="Z65" s="104"/>
      <c r="AA65" s="236"/>
      <c r="AB65" s="118"/>
      <c r="AC65" s="662"/>
      <c r="AD65" s="662"/>
      <c r="AE65" s="118"/>
      <c r="AF65" s="118"/>
      <c r="AG65" s="118"/>
      <c r="AH65" s="105"/>
      <c r="AI65" s="1422"/>
      <c r="AJ65" s="529"/>
      <c r="AK65" s="529"/>
      <c r="AL65" s="529"/>
      <c r="AM65" s="529"/>
      <c r="AN65" s="529"/>
      <c r="AO65" s="1420"/>
      <c r="AP65" s="529"/>
      <c r="AQ65" s="104"/>
    </row>
    <row r="66" spans="1:43">
      <c r="A66" s="4">
        <f>'Input data'!A121</f>
        <v>2021</v>
      </c>
      <c r="B66" s="4"/>
      <c r="C66" s="769">
        <f>'4A SWD Case 1'!BN91</f>
        <v>760.27425847316988</v>
      </c>
      <c r="D66" s="3">
        <f>'4B Biological treatment '!T119</f>
        <v>0.54342488244581011</v>
      </c>
      <c r="E66" s="1157">
        <f>'4B Biological treatment '!U119</f>
        <v>26.301147383434795</v>
      </c>
      <c r="F66" s="1157">
        <f>'4B Biological treatment '!W119</f>
        <v>1.5780688430060874</v>
      </c>
      <c r="G66" s="952">
        <f>'4C2 Open-burning '!R92</f>
        <v>30.396018954856537</v>
      </c>
      <c r="H66" s="952">
        <f>'4C2 Open-burning '!Z92</f>
        <v>10.227329792863893</v>
      </c>
      <c r="I66" s="952">
        <f>'4C2 Open-burning '!AH92</f>
        <v>0.14238169252964775</v>
      </c>
      <c r="J66" s="987">
        <f>'4D Wastewater treatment and dis'!AV129</f>
        <v>145.59752270040624</v>
      </c>
      <c r="K66" s="770">
        <f>'4D Wastewater treatment and dis'!AW129</f>
        <v>3.0248585614028385</v>
      </c>
      <c r="L66" s="771">
        <f t="shared" si="101"/>
        <v>15965.759427936568</v>
      </c>
      <c r="M66" s="772">
        <f t="shared" si="102"/>
        <v>11.411922531362013</v>
      </c>
      <c r="N66" s="771">
        <f t="shared" si="103"/>
        <v>1041.5254363840177</v>
      </c>
      <c r="O66" s="773">
        <f t="shared" si="104"/>
        <v>289.30826928918913</v>
      </c>
      <c r="P66" s="771">
        <f t="shared" si="105"/>
        <v>3995.2541307434112</v>
      </c>
      <c r="Q66" s="519">
        <f t="shared" si="106"/>
        <v>15965.759427936568</v>
      </c>
      <c r="R66" s="521">
        <f t="shared" si="107"/>
        <v>1052.9373589153797</v>
      </c>
      <c r="S66" s="518">
        <f t="shared" si="108"/>
        <v>289.30826928918913</v>
      </c>
      <c r="T66" s="519">
        <f t="shared" si="109"/>
        <v>3995.2541307434112</v>
      </c>
      <c r="U66" s="519">
        <f t="shared" si="110"/>
        <v>21303.259186884545</v>
      </c>
      <c r="X66" s="104"/>
      <c r="Y66" s="104"/>
      <c r="Z66" s="104"/>
      <c r="AA66" s="236"/>
      <c r="AB66" s="118"/>
      <c r="AC66" s="662"/>
      <c r="AD66" s="662"/>
      <c r="AE66" s="118"/>
      <c r="AF66" s="118"/>
      <c r="AG66" s="118"/>
      <c r="AH66" s="105"/>
      <c r="AI66" s="1422"/>
      <c r="AJ66" s="529"/>
      <c r="AK66" s="529"/>
      <c r="AL66" s="529"/>
      <c r="AM66" s="529"/>
      <c r="AN66" s="529"/>
      <c r="AO66" s="1420"/>
      <c r="AP66" s="529"/>
      <c r="AQ66" s="104"/>
    </row>
    <row r="67" spans="1:43">
      <c r="A67" s="4">
        <f>'Input data'!A122</f>
        <v>2022</v>
      </c>
      <c r="B67" s="4"/>
      <c r="C67" s="769">
        <f>'4A SWD Case 1'!BN92</f>
        <v>739.10337676720712</v>
      </c>
      <c r="D67" s="3">
        <f>'4B Biological treatment '!T120</f>
        <v>0.61506389344773316</v>
      </c>
      <c r="E67" s="1157">
        <f>'4B Biological treatment '!U120</f>
        <v>27.677875205147984</v>
      </c>
      <c r="F67" s="1157">
        <f>'4B Biological treatment '!W120</f>
        <v>1.6606725123088792</v>
      </c>
      <c r="G67" s="952">
        <f>'4C2 Open-burning '!R93</f>
        <v>29.615979043837584</v>
      </c>
      <c r="H67" s="952">
        <f>'4C2 Open-burning '!Z93</f>
        <v>9.9648702440185204</v>
      </c>
      <c r="I67" s="952">
        <f>'4C2 Open-burning '!AH93</f>
        <v>0.13872781262726636</v>
      </c>
      <c r="J67" s="987">
        <f>'4D Wastewater treatment and dis'!AV130</f>
        <v>148.88938056271107</v>
      </c>
      <c r="K67" s="770">
        <f>'4D Wastewater treatment and dis'!AW130</f>
        <v>3.0596873027184164</v>
      </c>
      <c r="L67" s="771">
        <f t="shared" si="101"/>
        <v>15521.170912111349</v>
      </c>
      <c r="M67" s="772">
        <f t="shared" si="102"/>
        <v>12.916341762402396</v>
      </c>
      <c r="N67" s="771">
        <f t="shared" si="103"/>
        <v>1096.0438581238602</v>
      </c>
      <c r="O67" s="773">
        <f t="shared" si="104"/>
        <v>281.88387608267908</v>
      </c>
      <c r="P67" s="771">
        <f t="shared" si="105"/>
        <v>4075.1800556596418</v>
      </c>
      <c r="Q67" s="519">
        <f t="shared" si="106"/>
        <v>15521.170912111349</v>
      </c>
      <c r="R67" s="521">
        <f t="shared" si="107"/>
        <v>1108.9601998862627</v>
      </c>
      <c r="S67" s="518">
        <f t="shared" si="108"/>
        <v>281.88387608267908</v>
      </c>
      <c r="T67" s="519">
        <f t="shared" si="109"/>
        <v>4075.1800556596418</v>
      </c>
      <c r="U67" s="519">
        <f t="shared" si="110"/>
        <v>20987.195043739935</v>
      </c>
      <c r="X67" s="104"/>
      <c r="Y67" s="104"/>
      <c r="Z67" s="104"/>
      <c r="AA67" s="236"/>
      <c r="AB67" s="118"/>
      <c r="AC67" s="662"/>
      <c r="AD67" s="662"/>
      <c r="AE67" s="118"/>
      <c r="AF67" s="118"/>
      <c r="AG67" s="118"/>
      <c r="AH67" s="105"/>
      <c r="AI67" s="1422"/>
      <c r="AJ67" s="529"/>
      <c r="AK67" s="529"/>
      <c r="AL67" s="529"/>
      <c r="AM67" s="529"/>
      <c r="AN67" s="529"/>
      <c r="AO67" s="1420"/>
      <c r="AP67" s="529"/>
      <c r="AQ67" s="104"/>
    </row>
    <row r="68" spans="1:43">
      <c r="A68" s="4">
        <f>'Input data'!A123</f>
        <v>2023</v>
      </c>
      <c r="B68" s="4"/>
      <c r="C68" s="769">
        <f>'4A SWD Case 1'!BN93</f>
        <v>717.5876499619427</v>
      </c>
      <c r="D68" s="3">
        <f>'4B Biological treatment '!T121</f>
        <v>0.64938224740543149</v>
      </c>
      <c r="E68" s="1157">
        <f>'4B Biological treatment '!U121</f>
        <v>29.222201133244411</v>
      </c>
      <c r="F68" s="1157">
        <f>'4B Biological treatment '!W121</f>
        <v>1.7533320679946647</v>
      </c>
      <c r="G68" s="952">
        <f>'4C2 Open-burning '!R94</f>
        <v>28.858943665621116</v>
      </c>
      <c r="H68" s="952">
        <f>'4C2 Open-burning '!Z94</f>
        <v>9.710151016168842</v>
      </c>
      <c r="I68" s="952">
        <f>'4C2 Open-burning '!AH94</f>
        <v>0.13518169105735395</v>
      </c>
      <c r="J68" s="987">
        <f>'4D Wastewater treatment and dis'!AV131</f>
        <v>152.23774169979643</v>
      </c>
      <c r="K68" s="770">
        <f>'4D Wastewater treatment and dis'!AW131</f>
        <v>3.0949170681470224</v>
      </c>
      <c r="L68" s="771">
        <f t="shared" si="101"/>
        <v>15069.340649200796</v>
      </c>
      <c r="M68" s="772">
        <f t="shared" si="102"/>
        <v>13.637027195514062</v>
      </c>
      <c r="N68" s="771">
        <f t="shared" si="103"/>
        <v>1157.1991648764788</v>
      </c>
      <c r="O68" s="773">
        <f t="shared" si="104"/>
        <v>274.67843923294652</v>
      </c>
      <c r="P68" s="771">
        <f t="shared" si="105"/>
        <v>4156.4168668213024</v>
      </c>
      <c r="Q68" s="519">
        <f t="shared" si="106"/>
        <v>15069.340649200796</v>
      </c>
      <c r="R68" s="521">
        <f t="shared" si="107"/>
        <v>1170.8361920719929</v>
      </c>
      <c r="S68" s="518">
        <f t="shared" si="108"/>
        <v>274.67843923294652</v>
      </c>
      <c r="T68" s="519">
        <f t="shared" si="109"/>
        <v>4156.4168668213024</v>
      </c>
      <c r="U68" s="519">
        <f t="shared" si="110"/>
        <v>20671.272147327039</v>
      </c>
      <c r="X68" s="104"/>
      <c r="Y68" s="104"/>
      <c r="Z68" s="104"/>
      <c r="AA68" s="236"/>
      <c r="AB68" s="118"/>
      <c r="AC68" s="662"/>
      <c r="AD68" s="662"/>
      <c r="AE68" s="118"/>
      <c r="AF68" s="118"/>
      <c r="AG68" s="118"/>
      <c r="AH68" s="105"/>
      <c r="AI68" s="1422"/>
      <c r="AJ68" s="529"/>
      <c r="AK68" s="529"/>
      <c r="AL68" s="529"/>
      <c r="AM68" s="529"/>
      <c r="AN68" s="529"/>
      <c r="AO68" s="1420"/>
      <c r="AP68" s="529"/>
      <c r="AQ68" s="104"/>
    </row>
    <row r="69" spans="1:43">
      <c r="A69" s="4">
        <f>'Input data'!A124</f>
        <v>2024</v>
      </c>
      <c r="B69" s="4"/>
      <c r="C69" s="769">
        <f>'4A SWD Case 1'!BN94</f>
        <v>695.9591349642501</v>
      </c>
      <c r="D69" s="3">
        <f>'4B Biological treatment '!T122</f>
        <v>0.68400022708806518</v>
      </c>
      <c r="E69" s="1157">
        <f>'4B Biological treatment '!U122</f>
        <v>30.780010218962929</v>
      </c>
      <c r="F69" s="1157">
        <f>'4B Biological treatment '!W122</f>
        <v>1.8468006131377757</v>
      </c>
      <c r="G69" s="952">
        <f>'4C2 Open-burning '!R95</f>
        <v>28.124145318244857</v>
      </c>
      <c r="H69" s="952">
        <f>'4C2 Open-burning '!Z95</f>
        <v>9.462913868401909</v>
      </c>
      <c r="I69" s="952">
        <f>'4C2 Open-burning '!AH95</f>
        <v>0.13173973267054012</v>
      </c>
      <c r="J69" s="987">
        <f>'4D Wastewater treatment and dis'!AV132</f>
        <v>155.64347086664165</v>
      </c>
      <c r="K69" s="770">
        <f>'4D Wastewater treatment and dis'!AW132</f>
        <v>3.1305524751492158</v>
      </c>
      <c r="L69" s="771">
        <f t="shared" si="101"/>
        <v>14615.141834249252</v>
      </c>
      <c r="M69" s="772">
        <f t="shared" si="102"/>
        <v>14.364004768849369</v>
      </c>
      <c r="N69" s="771">
        <f t="shared" si="103"/>
        <v>1218.888404670932</v>
      </c>
      <c r="O69" s="773">
        <f t="shared" si="104"/>
        <v>267.68465368255238</v>
      </c>
      <c r="P69" s="771">
        <f t="shared" si="105"/>
        <v>4238.9841554957311</v>
      </c>
      <c r="Q69" s="519">
        <f t="shared" si="106"/>
        <v>14615.141834249252</v>
      </c>
      <c r="R69" s="521">
        <f t="shared" si="107"/>
        <v>1233.2524094397813</v>
      </c>
      <c r="S69" s="518">
        <f t="shared" si="108"/>
        <v>267.68465368255238</v>
      </c>
      <c r="T69" s="519">
        <f t="shared" si="109"/>
        <v>4238.9841554957311</v>
      </c>
      <c r="U69" s="519">
        <f t="shared" si="110"/>
        <v>20355.063052867317</v>
      </c>
      <c r="X69" s="104"/>
      <c r="Y69" s="104"/>
      <c r="Z69" s="104"/>
      <c r="AA69" s="236"/>
      <c r="AB69" s="118"/>
      <c r="AC69" s="662"/>
      <c r="AD69" s="662"/>
      <c r="AE69" s="118"/>
      <c r="AF69" s="118"/>
      <c r="AG69" s="118"/>
      <c r="AH69" s="105"/>
      <c r="AI69" s="1422"/>
      <c r="AJ69" s="529"/>
      <c r="AK69" s="529"/>
      <c r="AL69" s="529"/>
      <c r="AM69" s="529"/>
      <c r="AN69" s="529"/>
      <c r="AO69" s="1420"/>
      <c r="AP69" s="529"/>
      <c r="AQ69" s="104"/>
    </row>
    <row r="70" spans="1:43">
      <c r="A70" s="4">
        <f>'Input data'!A125</f>
        <v>2025</v>
      </c>
      <c r="B70" s="4"/>
      <c r="C70" s="769">
        <f>'4A SWD Case 1'!BN95</f>
        <v>674.12777421635758</v>
      </c>
      <c r="D70" s="3">
        <f>'4B Biological treatment '!T123</f>
        <v>0.71809754565798634</v>
      </c>
      <c r="E70" s="1157">
        <f>'4B Biological treatment '!U123</f>
        <v>32.314389554609377</v>
      </c>
      <c r="F70" s="1157">
        <f>'4B Biological treatment '!W123</f>
        <v>1.9388633732765626</v>
      </c>
      <c r="G70" s="952">
        <f>'4C2 Open-burning '!R96</f>
        <v>27.410840899092218</v>
      </c>
      <c r="H70" s="952">
        <f>'4C2 Open-burning '!Z96</f>
        <v>9.222908769437602</v>
      </c>
      <c r="I70" s="952">
        <f>'4C2 Open-burning '!AH96</f>
        <v>0.1283984566093998</v>
      </c>
      <c r="J70" s="987">
        <f>'4D Wastewater treatment and dis'!AV133</f>
        <v>159.10744524111379</v>
      </c>
      <c r="K70" s="770">
        <f>'4D Wastewater treatment and dis'!AW133</f>
        <v>3.166598194351784</v>
      </c>
      <c r="L70" s="771">
        <f t="shared" si="101"/>
        <v>14156.68325854351</v>
      </c>
      <c r="M70" s="772">
        <f t="shared" si="102"/>
        <v>15.080048458817712</v>
      </c>
      <c r="N70" s="771">
        <f t="shared" si="103"/>
        <v>1279.6498263625313</v>
      </c>
      <c r="O70" s="773">
        <f t="shared" si="104"/>
        <v>260.89544660619578</v>
      </c>
      <c r="P70" s="771">
        <f t="shared" si="105"/>
        <v>4322.9017903124422</v>
      </c>
      <c r="Q70" s="519">
        <f t="shared" si="106"/>
        <v>14156.68325854351</v>
      </c>
      <c r="R70" s="521">
        <f t="shared" si="107"/>
        <v>1294.7298748213489</v>
      </c>
      <c r="S70" s="518">
        <f t="shared" si="108"/>
        <v>260.89544660619578</v>
      </c>
      <c r="T70" s="519">
        <f t="shared" si="109"/>
        <v>4322.9017903124422</v>
      </c>
      <c r="U70" s="519">
        <f t="shared" si="110"/>
        <v>20035.210370283494</v>
      </c>
      <c r="X70" s="104"/>
      <c r="Y70" s="104"/>
      <c r="Z70" s="104"/>
      <c r="AA70" s="236"/>
      <c r="AB70" s="118"/>
      <c r="AC70" s="662"/>
      <c r="AD70" s="662"/>
      <c r="AE70" s="118"/>
      <c r="AF70" s="118"/>
      <c r="AG70" s="118"/>
      <c r="AH70" s="105"/>
      <c r="AI70" s="1422"/>
      <c r="AJ70" s="529"/>
      <c r="AK70" s="529"/>
      <c r="AL70" s="529"/>
      <c r="AM70" s="529"/>
      <c r="AN70" s="529"/>
      <c r="AO70" s="1420"/>
      <c r="AP70" s="529"/>
      <c r="AQ70" s="104"/>
    </row>
    <row r="71" spans="1:43">
      <c r="A71" s="4">
        <f>'Input data'!A126</f>
        <v>2026</v>
      </c>
      <c r="B71" s="4"/>
      <c r="C71" s="769">
        <f>'4A SWD Case 1'!BN96</f>
        <v>652.17314609941911</v>
      </c>
      <c r="D71" s="3">
        <f>'4B Biological treatment '!T124</f>
        <v>0.75188608220257702</v>
      </c>
      <c r="E71" s="1157">
        <f>'4B Biological treatment '!U124</f>
        <v>33.83487369911596</v>
      </c>
      <c r="F71" s="1157">
        <f>'4B Biological treatment '!W124</f>
        <v>2.0300924219469576</v>
      </c>
      <c r="G71" s="952">
        <f>'4C2 Open-burning '!R97</f>
        <v>26.730615383560647</v>
      </c>
      <c r="H71" s="952">
        <f>'4C2 Open-burning '!Z97</f>
        <v>8.9940337088188294</v>
      </c>
      <c r="I71" s="952">
        <f>'4C2 Open-burning '!AH97</f>
        <v>0.12521212946744487</v>
      </c>
      <c r="J71" s="987">
        <f>'4D Wastewater treatment and dis'!AV134</f>
        <v>162.36241909655723</v>
      </c>
      <c r="K71" s="770">
        <f>'4D Wastewater treatment and dis'!AW134</f>
        <v>3.1977779387807019</v>
      </c>
      <c r="L71" s="771">
        <f t="shared" si="101"/>
        <v>13695.636068087801</v>
      </c>
      <c r="M71" s="772">
        <f t="shared" si="102"/>
        <v>15.789607726254118</v>
      </c>
      <c r="N71" s="771">
        <f t="shared" si="103"/>
        <v>1339.860998484992</v>
      </c>
      <c r="O71" s="773">
        <f t="shared" si="104"/>
        <v>254.421083403664</v>
      </c>
      <c r="P71" s="771">
        <f t="shared" si="105"/>
        <v>4400.9219620497197</v>
      </c>
      <c r="Q71" s="519">
        <f t="shared" si="106"/>
        <v>13695.636068087801</v>
      </c>
      <c r="R71" s="521">
        <f t="shared" si="107"/>
        <v>1355.6506062112462</v>
      </c>
      <c r="S71" s="518">
        <f t="shared" si="108"/>
        <v>254.421083403664</v>
      </c>
      <c r="T71" s="519">
        <f t="shared" si="109"/>
        <v>4400.9219620497197</v>
      </c>
      <c r="U71" s="519">
        <f t="shared" si="110"/>
        <v>19706.629719752429</v>
      </c>
      <c r="X71" s="104"/>
      <c r="Y71" s="104"/>
      <c r="Z71" s="104"/>
      <c r="AA71" s="236"/>
      <c r="AB71" s="118"/>
      <c r="AC71" s="662"/>
      <c r="AD71" s="662"/>
      <c r="AE71" s="118"/>
      <c r="AF71" s="118"/>
      <c r="AG71" s="118"/>
      <c r="AH71" s="105"/>
      <c r="AI71" s="1422"/>
      <c r="AJ71" s="529"/>
      <c r="AK71" s="529"/>
      <c r="AL71" s="529"/>
      <c r="AM71" s="529"/>
      <c r="AN71" s="529"/>
      <c r="AO71" s="1420"/>
      <c r="AP71" s="529"/>
      <c r="AQ71" s="104"/>
    </row>
    <row r="72" spans="1:43">
      <c r="A72" s="4">
        <f>'Input data'!A127</f>
        <v>2027</v>
      </c>
      <c r="B72" s="4"/>
      <c r="C72" s="769">
        <f>'4A SWD Case 1'!BN97</f>
        <v>630.65473342002326</v>
      </c>
      <c r="D72" s="3">
        <f>'4B Biological treatment '!T125</f>
        <v>0.78539193080655012</v>
      </c>
      <c r="E72" s="1157">
        <f>'4B Biological treatment '!U125</f>
        <v>35.342636886294748</v>
      </c>
      <c r="F72" s="1157">
        <f>'4B Biological treatment '!W125</f>
        <v>2.1205582131776852</v>
      </c>
      <c r="G72" s="952">
        <f>'4C2 Open-burning '!R98</f>
        <v>26.072991717486669</v>
      </c>
      <c r="H72" s="952">
        <f>'4C2 Open-burning '!Z98</f>
        <v>8.7727634785784918</v>
      </c>
      <c r="I72" s="952">
        <f>'4C2 Open-burning '!AH98</f>
        <v>0.12213167439988395</v>
      </c>
      <c r="J72" s="987">
        <f>'4D Wastewater treatment and dis'!AV135</f>
        <v>165.66606694292278</v>
      </c>
      <c r="K72" s="770">
        <f>'4D Wastewater treatment and dis'!AW135</f>
        <v>3.2292646929415123</v>
      </c>
      <c r="L72" s="771">
        <f t="shared" si="101"/>
        <v>13243.749401820489</v>
      </c>
      <c r="M72" s="772">
        <f t="shared" si="102"/>
        <v>16.493230546937554</v>
      </c>
      <c r="N72" s="771">
        <f t="shared" si="103"/>
        <v>1399.5684206972721</v>
      </c>
      <c r="O72" s="773">
        <f t="shared" si="104"/>
        <v>248.16184383159901</v>
      </c>
      <c r="P72" s="771">
        <f t="shared" si="105"/>
        <v>4480.0594606132472</v>
      </c>
      <c r="Q72" s="519">
        <f t="shared" si="106"/>
        <v>13243.749401820489</v>
      </c>
      <c r="R72" s="521">
        <f t="shared" si="107"/>
        <v>1416.0616512442098</v>
      </c>
      <c r="S72" s="518">
        <f t="shared" si="108"/>
        <v>248.16184383159901</v>
      </c>
      <c r="T72" s="519">
        <f t="shared" si="109"/>
        <v>4480.0594606132472</v>
      </c>
      <c r="U72" s="519">
        <f t="shared" si="110"/>
        <v>19388.032357509546</v>
      </c>
      <c r="X72" s="104"/>
      <c r="Y72" s="104"/>
      <c r="Z72" s="104"/>
      <c r="AA72" s="236"/>
      <c r="AB72" s="118"/>
      <c r="AC72" s="662"/>
      <c r="AD72" s="662"/>
      <c r="AE72" s="118"/>
      <c r="AF72" s="118"/>
      <c r="AG72" s="118"/>
      <c r="AH72" s="105"/>
      <c r="AI72" s="1422"/>
      <c r="AJ72" s="529"/>
      <c r="AK72" s="529"/>
      <c r="AL72" s="529"/>
      <c r="AM72" s="529"/>
      <c r="AN72" s="529"/>
      <c r="AO72" s="1420"/>
      <c r="AP72" s="529"/>
      <c r="AQ72" s="104"/>
    </row>
    <row r="73" spans="1:43">
      <c r="A73" s="4">
        <f>'Input data'!A128</f>
        <v>2028</v>
      </c>
      <c r="B73" s="4"/>
      <c r="C73" s="769">
        <f>'4A SWD Case 1'!BN98</f>
        <v>609.49364888683613</v>
      </c>
      <c r="D73" s="3">
        <f>'4B Biological treatment '!T126</f>
        <v>0.78912390201466587</v>
      </c>
      <c r="E73" s="1157">
        <f>'4B Biological treatment '!U126</f>
        <v>35.510575590659961</v>
      </c>
      <c r="F73" s="1157">
        <f>'4B Biological treatment '!W126</f>
        <v>2.1306345354395977</v>
      </c>
      <c r="G73" s="952">
        <f>'4C2 Open-burning '!R99</f>
        <v>24.643242655537975</v>
      </c>
      <c r="H73" s="952">
        <f>'4C2 Open-burning '!Z99</f>
        <v>8.2916966915329837</v>
      </c>
      <c r="I73" s="952">
        <f>'4C2 Open-burning '!AH99</f>
        <v>0.115434412773772</v>
      </c>
      <c r="J73" s="987">
        <f>'4D Wastewater treatment and dis'!AV136</f>
        <v>169.01903173407416</v>
      </c>
      <c r="K73" s="770">
        <f>'4D Wastewater treatment and dis'!AW136</f>
        <v>3.2610614797895683</v>
      </c>
      <c r="L73" s="771">
        <f t="shared" si="101"/>
        <v>12799.36662662356</v>
      </c>
      <c r="M73" s="772">
        <f t="shared" si="102"/>
        <v>16.571601942307982</v>
      </c>
      <c r="N73" s="771">
        <f t="shared" si="103"/>
        <v>1406.2187933901346</v>
      </c>
      <c r="O73" s="773">
        <f t="shared" si="104"/>
        <v>234.55354113759998</v>
      </c>
      <c r="P73" s="771">
        <f t="shared" si="105"/>
        <v>4560.3287251503234</v>
      </c>
      <c r="Q73" s="519">
        <f t="shared" si="106"/>
        <v>12799.36662662356</v>
      </c>
      <c r="R73" s="521">
        <f t="shared" si="107"/>
        <v>1422.7903953324426</v>
      </c>
      <c r="S73" s="518">
        <f t="shared" si="108"/>
        <v>234.55354113759998</v>
      </c>
      <c r="T73" s="519">
        <f t="shared" si="109"/>
        <v>4560.3287251503234</v>
      </c>
      <c r="U73" s="519">
        <f t="shared" si="110"/>
        <v>19017.039288243926</v>
      </c>
      <c r="X73" s="104"/>
      <c r="Y73" s="104"/>
      <c r="Z73" s="104"/>
      <c r="AA73" s="236"/>
      <c r="AB73" s="118"/>
      <c r="AC73" s="662"/>
      <c r="AD73" s="662"/>
      <c r="AE73" s="118"/>
      <c r="AF73" s="118"/>
      <c r="AG73" s="118"/>
      <c r="AH73" s="105"/>
      <c r="AI73" s="1422"/>
      <c r="AJ73" s="529"/>
      <c r="AK73" s="529"/>
      <c r="AL73" s="529"/>
      <c r="AM73" s="529"/>
      <c r="AN73" s="529"/>
      <c r="AO73" s="1420"/>
      <c r="AP73" s="529"/>
      <c r="AQ73" s="104"/>
    </row>
    <row r="74" spans="1:43">
      <c r="A74" s="4">
        <f>'Input data'!A129</f>
        <v>2029</v>
      </c>
      <c r="B74" s="4"/>
      <c r="C74" s="769">
        <f>'4A SWD Case 1'!BN99</f>
        <v>589.02929657241202</v>
      </c>
      <c r="D74" s="3">
        <f>'4B Biological treatment '!T127</f>
        <v>0.79388212369670896</v>
      </c>
      <c r="E74" s="1157">
        <f>'4B Biological treatment '!U127</f>
        <v>35.724695566351897</v>
      </c>
      <c r="F74" s="1157">
        <f>'4B Biological treatment '!W127</f>
        <v>2.1434817339811141</v>
      </c>
      <c r="G74" s="952">
        <f>'4C2 Open-burning '!R100</f>
        <v>23.292811814782528</v>
      </c>
      <c r="H74" s="952">
        <f>'4C2 Open-burning '!Z100</f>
        <v>7.837318057562114</v>
      </c>
      <c r="I74" s="952">
        <f>'4C2 Open-burning '!AH100</f>
        <v>0.10910869528305192</v>
      </c>
      <c r="J74" s="987">
        <f>'4D Wastewater treatment and dis'!AV137</f>
        <v>172.42196436643172</v>
      </c>
      <c r="K74" s="770">
        <f>'4D Wastewater treatment and dis'!AW137</f>
        <v>3.2931713520456056</v>
      </c>
      <c r="L74" s="771">
        <f t="shared" si="101"/>
        <v>12369.615228020652</v>
      </c>
      <c r="M74" s="772">
        <f t="shared" si="102"/>
        <v>16.671524597630889</v>
      </c>
      <c r="N74" s="771">
        <f t="shared" si="103"/>
        <v>1414.6979444275353</v>
      </c>
      <c r="O74" s="773">
        <f t="shared" si="104"/>
        <v>221.70018656133303</v>
      </c>
      <c r="P74" s="771">
        <f t="shared" si="105"/>
        <v>4641.7443708292039</v>
      </c>
      <c r="Q74" s="519">
        <f t="shared" si="106"/>
        <v>12369.615228020652</v>
      </c>
      <c r="R74" s="521">
        <f t="shared" si="107"/>
        <v>1431.3694690251662</v>
      </c>
      <c r="S74" s="518">
        <f t="shared" si="108"/>
        <v>221.70018656133303</v>
      </c>
      <c r="T74" s="519">
        <f t="shared" si="109"/>
        <v>4641.7443708292039</v>
      </c>
      <c r="U74" s="519">
        <f t="shared" si="110"/>
        <v>18664.429254436356</v>
      </c>
      <c r="X74" s="104"/>
      <c r="Y74" s="104"/>
      <c r="Z74" s="104"/>
      <c r="AA74" s="236"/>
      <c r="AB74" s="118"/>
      <c r="AC74" s="662"/>
      <c r="AD74" s="662"/>
      <c r="AE74" s="118"/>
      <c r="AF74" s="118"/>
      <c r="AG74" s="118"/>
      <c r="AH74" s="105"/>
      <c r="AI74" s="1422"/>
      <c r="AJ74" s="529"/>
      <c r="AK74" s="529"/>
      <c r="AL74" s="529"/>
      <c r="AM74" s="529"/>
      <c r="AN74" s="529"/>
      <c r="AO74" s="1420"/>
      <c r="AP74" s="529"/>
      <c r="AQ74" s="104"/>
    </row>
    <row r="75" spans="1:43">
      <c r="A75" s="4">
        <f>'Input data'!A130</f>
        <v>2030</v>
      </c>
      <c r="B75" s="4"/>
      <c r="C75" s="769">
        <f>'4A SWD Case 1'!BN100</f>
        <v>569.23928018224137</v>
      </c>
      <c r="D75" s="3">
        <f>'4B Biological treatment '!T128</f>
        <v>0.79807025011266552</v>
      </c>
      <c r="E75" s="1157">
        <f>'4B Biological treatment '!U128</f>
        <v>35.913161255069944</v>
      </c>
      <c r="F75" s="1157">
        <f>'4B Biological treatment '!W128</f>
        <v>2.1547896753041966</v>
      </c>
      <c r="G75" s="952">
        <f>'4C2 Open-burning '!R101</f>
        <v>22.017235682209698</v>
      </c>
      <c r="H75" s="952">
        <f>'4C2 Open-burning '!Z101</f>
        <v>7.4081257411899131</v>
      </c>
      <c r="I75" s="952">
        <f>'4C2 Open-burning '!AH101</f>
        <v>0.10313361384308185</v>
      </c>
      <c r="J75" s="987">
        <f>'4D Wastewater treatment and dis'!AV138</f>
        <v>175.87552377304826</v>
      </c>
      <c r="K75" s="770">
        <f>'4D Wastewater treatment and dis'!AW138</f>
        <v>3.3255973924888065</v>
      </c>
      <c r="L75" s="771">
        <f t="shared" si="101"/>
        <v>11954.024883827069</v>
      </c>
      <c r="M75" s="772">
        <f t="shared" si="102"/>
        <v>16.759475252365977</v>
      </c>
      <c r="N75" s="771">
        <f t="shared" si="103"/>
        <v>1422.1611857007697</v>
      </c>
      <c r="O75" s="773">
        <f t="shared" si="104"/>
        <v>209.55929653855324</v>
      </c>
      <c r="P75" s="771">
        <f t="shared" si="105"/>
        <v>4724.3211909055435</v>
      </c>
      <c r="Q75" s="519">
        <f t="shared" si="106"/>
        <v>11954.024883827069</v>
      </c>
      <c r="R75" s="521">
        <f t="shared" si="107"/>
        <v>1438.9206609531357</v>
      </c>
      <c r="S75" s="518">
        <f t="shared" si="108"/>
        <v>209.55929653855324</v>
      </c>
      <c r="T75" s="519">
        <f t="shared" si="109"/>
        <v>4724.3211909055435</v>
      </c>
      <c r="U75" s="519">
        <f t="shared" si="110"/>
        <v>18326.8260322243</v>
      </c>
      <c r="X75" s="104"/>
      <c r="Y75" s="104"/>
      <c r="Z75" s="104"/>
      <c r="AA75" s="236"/>
      <c r="AB75" s="118"/>
      <c r="AC75" s="662"/>
      <c r="AD75" s="662"/>
      <c r="AE75" s="118"/>
      <c r="AF75" s="118"/>
      <c r="AG75" s="118"/>
      <c r="AH75" s="105"/>
      <c r="AI75" s="1422"/>
      <c r="AJ75" s="529"/>
      <c r="AK75" s="529"/>
      <c r="AL75" s="529"/>
      <c r="AM75" s="529"/>
      <c r="AN75" s="529"/>
      <c r="AO75" s="1420"/>
      <c r="AP75" s="529"/>
      <c r="AQ75" s="104"/>
    </row>
    <row r="76" spans="1:43">
      <c r="A76" s="4">
        <f>'Input data'!A131</f>
        <v>2031</v>
      </c>
      <c r="B76" s="4"/>
      <c r="C76" s="769">
        <f>'4A SWD Case 1'!BN101</f>
        <v>550.10202311178875</v>
      </c>
      <c r="D76" s="3">
        <f>'4B Biological treatment '!T129</f>
        <v>0.79534766107610655</v>
      </c>
      <c r="E76" s="1157">
        <f>'4B Biological treatment '!U129</f>
        <v>35.790644748424789</v>
      </c>
      <c r="F76" s="1157">
        <f>'4B Biological treatment '!W129</f>
        <v>2.1474386849054872</v>
      </c>
      <c r="G76" s="952">
        <f>'4C2 Open-burning '!R102</f>
        <v>20.920945264930513</v>
      </c>
      <c r="H76" s="952">
        <f>'4C2 Open-burning '!Z102</f>
        <v>7.0392575791150502</v>
      </c>
      <c r="I76" s="952">
        <f>'4C2 Open-burning '!AH102</f>
        <v>9.7998346446780099E-2</v>
      </c>
      <c r="J76" s="987">
        <f>'4D Wastewater treatment and dis'!AV139</f>
        <v>179.14729338241924</v>
      </c>
      <c r="K76" s="770">
        <f>'4D Wastewater treatment and dis'!AW139</f>
        <v>3.3539789441183268</v>
      </c>
      <c r="L76" s="771">
        <f t="shared" si="101"/>
        <v>11552.142485347564</v>
      </c>
      <c r="M76" s="772">
        <f t="shared" si="102"/>
        <v>16.702300882598237</v>
      </c>
      <c r="N76" s="771">
        <f t="shared" si="103"/>
        <v>1417.3095320376215</v>
      </c>
      <c r="O76" s="773">
        <f t="shared" si="104"/>
        <v>199.12484182484837</v>
      </c>
      <c r="P76" s="771">
        <f t="shared" si="105"/>
        <v>4801.8266337074856</v>
      </c>
      <c r="Q76" s="519">
        <f t="shared" si="106"/>
        <v>11552.142485347564</v>
      </c>
      <c r="R76" s="521">
        <f t="shared" si="107"/>
        <v>1434.0118329202196</v>
      </c>
      <c r="S76" s="518">
        <f t="shared" si="108"/>
        <v>199.12484182484837</v>
      </c>
      <c r="T76" s="519">
        <f t="shared" si="109"/>
        <v>4801.8266337074856</v>
      </c>
      <c r="U76" s="519">
        <f t="shared" si="110"/>
        <v>17987.105793800118</v>
      </c>
      <c r="X76" s="104"/>
      <c r="Y76" s="104"/>
      <c r="Z76" s="104"/>
      <c r="AA76" s="236"/>
      <c r="AB76" s="118"/>
      <c r="AC76" s="662"/>
      <c r="AD76" s="662"/>
      <c r="AE76" s="118"/>
      <c r="AF76" s="118"/>
      <c r="AG76" s="118"/>
      <c r="AH76" s="105"/>
      <c r="AI76" s="1422"/>
      <c r="AJ76" s="1403"/>
      <c r="AK76" s="529"/>
      <c r="AL76" s="529"/>
      <c r="AM76" s="529"/>
      <c r="AN76" s="529"/>
      <c r="AO76" s="1420"/>
      <c r="AP76" s="529"/>
      <c r="AQ76" s="104"/>
    </row>
    <row r="77" spans="1:43">
      <c r="A77" s="4">
        <f>'Input data'!A132</f>
        <v>2032</v>
      </c>
      <c r="B77" s="4"/>
      <c r="C77" s="769">
        <f>'4A SWD Case 1'!BN102</f>
        <v>531.59878222356792</v>
      </c>
      <c r="D77" s="3">
        <f>'4B Biological treatment '!T130</f>
        <v>0.80290106223682667</v>
      </c>
      <c r="E77" s="1157">
        <f>'4B Biological treatment '!U130</f>
        <v>36.130547800657197</v>
      </c>
      <c r="F77" s="1157">
        <f>'4B Biological treatment '!W130</f>
        <v>2.1678328680394321</v>
      </c>
      <c r="G77" s="952">
        <f>'4C2 Open-burning '!R103</f>
        <v>19.830700584208724</v>
      </c>
      <c r="H77" s="952">
        <f>'4C2 Open-burning '!Z103</f>
        <v>6.6724236222992763</v>
      </c>
      <c r="I77" s="952">
        <f>'4C2 Open-burning '!AH103</f>
        <v>9.2891398621041524E-2</v>
      </c>
      <c r="J77" s="987">
        <f>'4D Wastewater treatment and dis'!AV140</f>
        <v>182.4620976517032</v>
      </c>
      <c r="K77" s="770">
        <f>'4D Wastewater treatment and dis'!AW140</f>
        <v>3.3826027116200144</v>
      </c>
      <c r="L77" s="771">
        <f t="shared" si="101"/>
        <v>11163.574426694926</v>
      </c>
      <c r="M77" s="772">
        <f t="shared" si="102"/>
        <v>16.860922306973361</v>
      </c>
      <c r="N77" s="771">
        <f t="shared" si="103"/>
        <v>1430.7696929060251</v>
      </c>
      <c r="O77" s="773">
        <f t="shared" si="104"/>
        <v>188.7479302250164</v>
      </c>
      <c r="P77" s="771">
        <f t="shared" si="105"/>
        <v>4880.3108912879725</v>
      </c>
      <c r="Q77" s="519">
        <f t="shared" si="106"/>
        <v>11163.574426694926</v>
      </c>
      <c r="R77" s="521">
        <f t="shared" si="107"/>
        <v>1447.6306152129985</v>
      </c>
      <c r="S77" s="518">
        <f t="shared" si="108"/>
        <v>188.7479302250164</v>
      </c>
      <c r="T77" s="519">
        <f t="shared" si="109"/>
        <v>4880.3108912879725</v>
      </c>
      <c r="U77" s="519">
        <f t="shared" si="110"/>
        <v>17680.263863420914</v>
      </c>
      <c r="X77" s="104"/>
      <c r="Y77" s="104"/>
      <c r="Z77" s="104"/>
      <c r="AA77" s="236"/>
      <c r="AB77" s="118"/>
      <c r="AC77" s="662"/>
      <c r="AD77" s="662"/>
      <c r="AE77" s="118"/>
      <c r="AF77" s="118"/>
      <c r="AG77" s="118"/>
      <c r="AH77" s="105"/>
      <c r="AI77" s="1422"/>
      <c r="AJ77" s="1403"/>
      <c r="AK77" s="529"/>
      <c r="AL77" s="529"/>
      <c r="AM77" s="529"/>
      <c r="AN77" s="529"/>
      <c r="AO77" s="1420"/>
      <c r="AP77" s="529"/>
      <c r="AQ77" s="104"/>
    </row>
    <row r="78" spans="1:43">
      <c r="A78" s="4">
        <f>'Input data'!A133</f>
        <v>2033</v>
      </c>
      <c r="B78" s="4"/>
      <c r="C78" s="769">
        <f>'4A SWD Case 1'!BN103</f>
        <v>513.69138898307904</v>
      </c>
      <c r="D78" s="3">
        <f>'4B Biological treatment '!T131</f>
        <v>0.81020510147894631</v>
      </c>
      <c r="E78" s="1157">
        <f>'4B Biological treatment '!U131</f>
        <v>36.45922956655258</v>
      </c>
      <c r="F78" s="1157">
        <f>'4B Biological treatment '!W131</f>
        <v>2.1875537739931548</v>
      </c>
      <c r="G78" s="952">
        <f>'4C2 Open-burning '!R104</f>
        <v>18.746381549056849</v>
      </c>
      <c r="H78" s="952">
        <f>'4C2 Open-burning '!Z104</f>
        <v>6.3075834638019295</v>
      </c>
      <c r="I78" s="952">
        <f>'4C2 Open-burning '!AH104</f>
        <v>8.7812207833052797E-2</v>
      </c>
      <c r="J78" s="987">
        <f>'4D Wastewater treatment and dis'!AV141</f>
        <v>185.8204328244677</v>
      </c>
      <c r="K78" s="770">
        <f>'4D Wastewater treatment and dis'!AW141</f>
        <v>3.4114707621299263</v>
      </c>
      <c r="L78" s="771">
        <f t="shared" si="101"/>
        <v>10787.51916864466</v>
      </c>
      <c r="M78" s="772">
        <f t="shared" si="102"/>
        <v>17.014307131057873</v>
      </c>
      <c r="N78" s="771">
        <f t="shared" si="103"/>
        <v>1443.7854908354821</v>
      </c>
      <c r="O78" s="773">
        <f t="shared" si="104"/>
        <v>178.42741871714372</v>
      </c>
      <c r="P78" s="771">
        <f t="shared" si="105"/>
        <v>4959.7850255740987</v>
      </c>
      <c r="Q78" s="519">
        <f t="shared" si="106"/>
        <v>10787.51916864466</v>
      </c>
      <c r="R78" s="521">
        <f t="shared" si="107"/>
        <v>1460.7997979665399</v>
      </c>
      <c r="S78" s="518">
        <f t="shared" si="108"/>
        <v>178.42741871714372</v>
      </c>
      <c r="T78" s="519">
        <f t="shared" si="109"/>
        <v>4959.7850255740987</v>
      </c>
      <c r="U78" s="519">
        <f t="shared" si="110"/>
        <v>17386.53141090244</v>
      </c>
      <c r="X78" s="104"/>
      <c r="Y78" s="104"/>
      <c r="Z78" s="104"/>
      <c r="AA78" s="236"/>
      <c r="AB78" s="118"/>
      <c r="AC78" s="662"/>
      <c r="AD78" s="662"/>
      <c r="AE78" s="118"/>
      <c r="AF78" s="118"/>
      <c r="AG78" s="118"/>
      <c r="AH78" s="105"/>
      <c r="AI78" s="1422"/>
      <c r="AJ78" s="1403"/>
      <c r="AK78" s="529"/>
      <c r="AL78" s="529"/>
      <c r="AM78" s="529"/>
      <c r="AN78" s="529"/>
      <c r="AO78" s="1420"/>
      <c r="AP78" s="529"/>
      <c r="AQ78" s="104"/>
    </row>
    <row r="79" spans="1:43">
      <c r="A79" s="4">
        <f>'Input data'!A134</f>
        <v>2034</v>
      </c>
      <c r="B79" s="4"/>
      <c r="C79" s="769">
        <f>'4A SWD Case 1'!BN104</f>
        <v>496.34353133278057</v>
      </c>
      <c r="D79" s="3">
        <f>'4B Biological treatment '!T132</f>
        <v>0.81918682047989866</v>
      </c>
      <c r="E79" s="1157">
        <f>'4B Biological treatment '!U132</f>
        <v>36.863406921595434</v>
      </c>
      <c r="F79" s="1157">
        <f>'4B Biological treatment '!W132</f>
        <v>2.2118044152957261</v>
      </c>
      <c r="G79" s="952">
        <f>'4C2 Open-burning '!R105</f>
        <v>17.667870858558523</v>
      </c>
      <c r="H79" s="952">
        <f>'4C2 Open-burning '!Z105</f>
        <v>5.9446976354558663</v>
      </c>
      <c r="I79" s="952">
        <f>'4C2 Open-burning '!AH105</f>
        <v>8.2760224619312345E-2</v>
      </c>
      <c r="J79" s="987">
        <f>'4D Wastewater treatment and dis'!AV142</f>
        <v>189.22280048005791</v>
      </c>
      <c r="K79" s="770">
        <f>'4D Wastewater treatment and dis'!AW142</f>
        <v>3.4405851804256198</v>
      </c>
      <c r="L79" s="771">
        <f t="shared" si="101"/>
        <v>10423.214157988392</v>
      </c>
      <c r="M79" s="772">
        <f t="shared" si="102"/>
        <v>17.202923230077872</v>
      </c>
      <c r="N79" s="771">
        <f t="shared" si="103"/>
        <v>1459.7909140951792</v>
      </c>
      <c r="O79" s="773">
        <f t="shared" si="104"/>
        <v>168.16219083511854</v>
      </c>
      <c r="P79" s="771">
        <f t="shared" si="105"/>
        <v>5040.2602160131582</v>
      </c>
      <c r="Q79" s="519">
        <f t="shared" si="106"/>
        <v>10423.214157988392</v>
      </c>
      <c r="R79" s="521">
        <f t="shared" si="107"/>
        <v>1476.9938373252571</v>
      </c>
      <c r="S79" s="518">
        <f t="shared" si="108"/>
        <v>168.16219083511854</v>
      </c>
      <c r="T79" s="519">
        <f t="shared" si="109"/>
        <v>5040.2602160131582</v>
      </c>
      <c r="U79" s="519">
        <f t="shared" si="110"/>
        <v>17108.630402161925</v>
      </c>
      <c r="X79" s="104"/>
      <c r="Y79" s="104"/>
      <c r="Z79" s="104"/>
      <c r="AA79" s="236"/>
      <c r="AB79" s="118"/>
      <c r="AC79" s="662"/>
      <c r="AD79" s="662"/>
      <c r="AE79" s="118"/>
      <c r="AF79" s="118"/>
      <c r="AG79" s="118"/>
      <c r="AH79" s="105"/>
      <c r="AI79" s="1422"/>
      <c r="AJ79" s="1403"/>
      <c r="AK79" s="529"/>
      <c r="AL79" s="529"/>
      <c r="AM79" s="529"/>
      <c r="AN79" s="529"/>
      <c r="AO79" s="1420"/>
      <c r="AP79" s="529"/>
      <c r="AQ79" s="104"/>
    </row>
    <row r="80" spans="1:43">
      <c r="A80" s="4">
        <f>'Input data'!A135</f>
        <v>2035</v>
      </c>
      <c r="B80" s="4"/>
      <c r="C80" s="769">
        <f>'4A SWD Case 1'!BN105</f>
        <v>479.52066346970753</v>
      </c>
      <c r="D80" s="3">
        <f>'4B Biological treatment '!T133</f>
        <v>0.82680899684673204</v>
      </c>
      <c r="E80" s="1157">
        <f>'4B Biological treatment '!U133</f>
        <v>37.206404858102943</v>
      </c>
      <c r="F80" s="1157">
        <f>'4B Biological treatment '!W133</f>
        <v>2.2323842914861762</v>
      </c>
      <c r="G80" s="952">
        <f>'4C2 Open-burning '!R106</f>
        <v>16.595053922921537</v>
      </c>
      <c r="H80" s="952">
        <f>'4C2 Open-burning '!Z106</f>
        <v>5.5837275813042186</v>
      </c>
      <c r="I80" s="952">
        <f>'4C2 Open-burning '!AH106</f>
        <v>7.773491221582543E-2</v>
      </c>
      <c r="J80" s="987">
        <f>'4D Wastewater treatment and dis'!AV143</f>
        <v>192.66970758852685</v>
      </c>
      <c r="K80" s="770">
        <f>'4D Wastewater treatment and dis'!AW143</f>
        <v>3.4699480690767106</v>
      </c>
      <c r="L80" s="771">
        <f t="shared" si="101"/>
        <v>10069.933932863858</v>
      </c>
      <c r="M80" s="772">
        <f t="shared" si="102"/>
        <v>17.362988933781374</v>
      </c>
      <c r="N80" s="771">
        <f t="shared" si="103"/>
        <v>1473.3736323808764</v>
      </c>
      <c r="O80" s="773">
        <f t="shared" si="104"/>
        <v>157.95115591721603</v>
      </c>
      <c r="P80" s="771">
        <f t="shared" si="105"/>
        <v>5121.7477607728442</v>
      </c>
      <c r="Q80" s="519">
        <f t="shared" si="106"/>
        <v>10069.933932863858</v>
      </c>
      <c r="R80" s="521">
        <f t="shared" si="107"/>
        <v>1490.7366213146579</v>
      </c>
      <c r="S80" s="518">
        <f t="shared" si="108"/>
        <v>157.95115591721603</v>
      </c>
      <c r="T80" s="519">
        <f t="shared" si="109"/>
        <v>5121.7477607728442</v>
      </c>
      <c r="U80" s="519">
        <f t="shared" si="110"/>
        <v>16840.369470868576</v>
      </c>
      <c r="X80" s="104"/>
      <c r="Y80" s="104"/>
      <c r="Z80" s="104"/>
      <c r="AA80" s="236"/>
      <c r="AB80" s="118"/>
      <c r="AC80" s="662"/>
      <c r="AD80" s="662"/>
      <c r="AE80" s="118"/>
      <c r="AF80" s="118"/>
      <c r="AG80" s="118"/>
      <c r="AH80" s="105"/>
      <c r="AI80" s="1422"/>
      <c r="AJ80" s="1403"/>
      <c r="AK80" s="529"/>
      <c r="AL80" s="529"/>
      <c r="AM80" s="529"/>
      <c r="AN80" s="529"/>
      <c r="AO80" s="1420"/>
      <c r="AP80" s="529"/>
      <c r="AQ80" s="104"/>
    </row>
    <row r="81" spans="1:43">
      <c r="A81" s="4">
        <f>'Input data'!A136</f>
        <v>2036</v>
      </c>
      <c r="B81" s="4"/>
      <c r="C81" s="769">
        <f>'4A SWD Case 1'!BN106</f>
        <v>463.65708236062284</v>
      </c>
      <c r="D81" s="3">
        <f>'4B Biological treatment '!T134</f>
        <v>0.83438526278980896</v>
      </c>
      <c r="E81" s="1157">
        <f>'4B Biological treatment '!U134</f>
        <v>37.5473368255414</v>
      </c>
      <c r="F81" s="1157">
        <f>'4B Biological treatment '!W134</f>
        <v>2.2528402095324838</v>
      </c>
      <c r="G81" s="952">
        <f>'4C2 Open-burning '!R107</f>
        <v>15.533146621710603</v>
      </c>
      <c r="H81" s="952">
        <f>'4C2 Open-burning '!Z107</f>
        <v>5.2264282851344142</v>
      </c>
      <c r="I81" s="952">
        <f>'4C2 Open-burning '!AH107</f>
        <v>7.2760702958996254E-2</v>
      </c>
      <c r="J81" s="987">
        <f>'4D Wastewater treatment and dis'!AV144</f>
        <v>195.92571354716031</v>
      </c>
      <c r="K81" s="770">
        <f>'4D Wastewater treatment and dis'!AW144</f>
        <v>3.4953521017314642</v>
      </c>
      <c r="L81" s="771">
        <f t="shared" si="101"/>
        <v>9736.79872957308</v>
      </c>
      <c r="M81" s="772">
        <f t="shared" si="102"/>
        <v>17.522090518585987</v>
      </c>
      <c r="N81" s="771">
        <f t="shared" si="103"/>
        <v>1486.8745382914394</v>
      </c>
      <c r="O81" s="773">
        <f t="shared" si="104"/>
        <v>147.84395852682215</v>
      </c>
      <c r="P81" s="771">
        <f t="shared" si="105"/>
        <v>5197.9991360271206</v>
      </c>
      <c r="Q81" s="519">
        <f t="shared" si="106"/>
        <v>9736.79872957308</v>
      </c>
      <c r="R81" s="521">
        <f t="shared" si="107"/>
        <v>1504.3966288100255</v>
      </c>
      <c r="S81" s="518">
        <f t="shared" si="108"/>
        <v>147.84395852682215</v>
      </c>
      <c r="T81" s="519">
        <f t="shared" si="109"/>
        <v>5197.9991360271206</v>
      </c>
      <c r="U81" s="519">
        <f t="shared" si="110"/>
        <v>16587.038452937049</v>
      </c>
      <c r="X81" s="104"/>
      <c r="Y81" s="1400"/>
      <c r="Z81" s="1400"/>
      <c r="AA81" s="1398"/>
      <c r="AB81" s="1404"/>
      <c r="AC81" s="1401"/>
      <c r="AD81" s="1401"/>
      <c r="AE81" s="1141"/>
      <c r="AF81" s="1141"/>
      <c r="AG81" s="1141"/>
      <c r="AH81" s="1402"/>
      <c r="AI81" s="1421"/>
      <c r="AJ81" s="529"/>
      <c r="AK81" s="529"/>
      <c r="AL81" s="529"/>
      <c r="AM81" s="529"/>
      <c r="AN81" s="529"/>
      <c r="AO81" s="1420"/>
      <c r="AP81" s="529"/>
      <c r="AQ81" s="104"/>
    </row>
    <row r="82" spans="1:43">
      <c r="A82" s="4">
        <f>'Input data'!A137</f>
        <v>2037</v>
      </c>
      <c r="B82" s="4"/>
      <c r="C82" s="769">
        <f>'4A SWD Case 1'!BN107</f>
        <v>449.72718866683437</v>
      </c>
      <c r="D82" s="3">
        <f>'4B Biological treatment '!T135</f>
        <v>0.84262284234872664</v>
      </c>
      <c r="E82" s="1157">
        <f>'4B Biological treatment '!U135</f>
        <v>37.918027905692696</v>
      </c>
      <c r="F82" s="1157">
        <f>'4B Biological treatment '!W135</f>
        <v>2.2750816743415618</v>
      </c>
      <c r="G82" s="952">
        <f>'4C2 Open-burning '!R108</f>
        <v>15.156233291943034</v>
      </c>
      <c r="H82" s="952">
        <f>'4C2 Open-burning '!Z108</f>
        <v>5.0996084890096478</v>
      </c>
      <c r="I82" s="952">
        <f>'4C2 Open-burning '!AH108</f>
        <v>7.0995157348928195E-2</v>
      </c>
      <c r="J82" s="987">
        <f>'4D Wastewater treatment and dis'!AV145</f>
        <v>199.21906799623179</v>
      </c>
      <c r="K82" s="770">
        <f>'4D Wastewater treatment and dis'!AW145</f>
        <v>3.5209421212835057</v>
      </c>
      <c r="L82" s="771">
        <f t="shared" si="101"/>
        <v>9444.2709620035221</v>
      </c>
      <c r="M82" s="772">
        <f t="shared" si="102"/>
        <v>17.695079689323258</v>
      </c>
      <c r="N82" s="771">
        <f t="shared" si="103"/>
        <v>1501.5539050654309</v>
      </c>
      <c r="O82" s="773">
        <f t="shared" si="104"/>
        <v>144.25651033931339</v>
      </c>
      <c r="P82" s="771">
        <f t="shared" si="105"/>
        <v>5275.0924855187541</v>
      </c>
      <c r="Q82" s="519">
        <f t="shared" si="106"/>
        <v>9444.2709620035221</v>
      </c>
      <c r="R82" s="521">
        <f t="shared" si="107"/>
        <v>1519.248984754754</v>
      </c>
      <c r="S82" s="518">
        <f t="shared" si="108"/>
        <v>144.25651033931339</v>
      </c>
      <c r="T82" s="519">
        <f t="shared" si="109"/>
        <v>5275.0924855187541</v>
      </c>
      <c r="U82" s="519">
        <f t="shared" si="110"/>
        <v>16382.868942616344</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436.77597756598465</v>
      </c>
      <c r="D83" s="3">
        <f>'4B Biological treatment '!T136</f>
        <v>0.85061667285410225</v>
      </c>
      <c r="E83" s="1157">
        <f>'4B Biological treatment '!U136</f>
        <v>38.277750278434596</v>
      </c>
      <c r="F83" s="1157">
        <f>'4B Biological treatment '!W136</f>
        <v>2.2966650167060756</v>
      </c>
      <c r="G83" s="952">
        <f>'4C2 Open-burning '!R109</f>
        <v>14.476946652655759</v>
      </c>
      <c r="H83" s="952">
        <f>'4C2 Open-burning '!Z109</f>
        <v>4.8710493315030332</v>
      </c>
      <c r="I83" s="952">
        <f>'4C2 Open-burning '!AH109</f>
        <v>6.7813228111479648E-2</v>
      </c>
      <c r="J83" s="987">
        <f>'4D Wastewater treatment and dis'!AV146</f>
        <v>202.55014328428078</v>
      </c>
      <c r="K83" s="770">
        <f>'4D Wastewater treatment and dis'!AW146</f>
        <v>3.5467194893720086</v>
      </c>
      <c r="L83" s="771">
        <f t="shared" si="101"/>
        <v>9172.2955288856774</v>
      </c>
      <c r="M83" s="772">
        <f t="shared" si="102"/>
        <v>17.862950129936149</v>
      </c>
      <c r="N83" s="771">
        <f t="shared" si="103"/>
        <v>1515.79891102601</v>
      </c>
      <c r="O83" s="773">
        <f t="shared" si="104"/>
        <v>137.79108332877814</v>
      </c>
      <c r="P83" s="771">
        <f t="shared" si="105"/>
        <v>5353.0360506752186</v>
      </c>
      <c r="Q83" s="519">
        <f t="shared" si="106"/>
        <v>9172.2955288856774</v>
      </c>
      <c r="R83" s="521">
        <f t="shared" si="107"/>
        <v>1533.6618611559461</v>
      </c>
      <c r="S83" s="518">
        <f t="shared" si="108"/>
        <v>137.79108332877814</v>
      </c>
      <c r="T83" s="519">
        <f t="shared" si="109"/>
        <v>5353.0360506752186</v>
      </c>
      <c r="U83" s="519">
        <f t="shared" si="110"/>
        <v>16196.784524045621</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424.57055322817729</v>
      </c>
      <c r="D84" s="3">
        <f>'4B Biological treatment '!T137</f>
        <v>0.85878412443604557</v>
      </c>
      <c r="E84" s="1157">
        <f>'4B Biological treatment '!U137</f>
        <v>38.645285599622042</v>
      </c>
      <c r="F84" s="1157">
        <f>'4B Biological treatment '!W137</f>
        <v>2.3187171359773227</v>
      </c>
      <c r="G84" s="952">
        <f>'4C2 Open-burning '!R110</f>
        <v>13.800644098157552</v>
      </c>
      <c r="H84" s="952">
        <f>'4C2 Open-burning '!Z110</f>
        <v>4.6434942271690707</v>
      </c>
      <c r="I84" s="952">
        <f>'4C2 Open-burning '!AH110</f>
        <v>6.46452769888477E-2</v>
      </c>
      <c r="J84" s="987">
        <f>'4D Wastewater treatment and dis'!AV147</f>
        <v>205.91931521003639</v>
      </c>
      <c r="K84" s="770">
        <f>'4D Wastewater treatment and dis'!AW147</f>
        <v>3.5726855776049167</v>
      </c>
      <c r="L84" s="771">
        <f t="shared" si="101"/>
        <v>8915.9816177917237</v>
      </c>
      <c r="M84" s="772">
        <f t="shared" si="102"/>
        <v>18.034466613156958</v>
      </c>
      <c r="N84" s="771">
        <f t="shared" si="103"/>
        <v>1530.3533097450329</v>
      </c>
      <c r="O84" s="773">
        <f t="shared" si="104"/>
        <v>131.35405873525082</v>
      </c>
      <c r="P84" s="771">
        <f t="shared" si="105"/>
        <v>5431.8381484682886</v>
      </c>
      <c r="Q84" s="519">
        <f t="shared" si="106"/>
        <v>8915.9816177917237</v>
      </c>
      <c r="R84" s="521">
        <f t="shared" si="107"/>
        <v>1548.38777635819</v>
      </c>
      <c r="S84" s="518">
        <f t="shared" si="108"/>
        <v>131.35405873525082</v>
      </c>
      <c r="T84" s="519">
        <f t="shared" si="109"/>
        <v>5431.8381484682886</v>
      </c>
      <c r="U84" s="519">
        <f t="shared" si="110"/>
        <v>16027.561601353453</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413.08269595347127</v>
      </c>
      <c r="D85" s="3">
        <f>'4B Biological treatment '!T138</f>
        <v>0.86705467345183718</v>
      </c>
      <c r="E85" s="1157">
        <f>'4B Biological treatment '!U138</f>
        <v>39.017460305332669</v>
      </c>
      <c r="F85" s="1157">
        <f>'4B Biological treatment '!W138</f>
        <v>2.3410476183199602</v>
      </c>
      <c r="G85" s="952">
        <f>'4C2 Open-burning '!R111</f>
        <v>13.127275968495754</v>
      </c>
      <c r="H85" s="952">
        <f>'4C2 Open-burning '!Z111</f>
        <v>4.4169264669540507</v>
      </c>
      <c r="I85" s="952">
        <f>'4C2 Open-burning '!AH111</f>
        <v>6.1491071362803011E-2</v>
      </c>
      <c r="J85" s="987">
        <f>'4D Wastewater treatment and dis'!AV148</f>
        <v>209.32696305297864</v>
      </c>
      <c r="K85" s="770">
        <f>'4D Wastewater treatment and dis'!AW148</f>
        <v>3.5988417676319293</v>
      </c>
      <c r="L85" s="771">
        <f t="shared" si="101"/>
        <v>8674.7366150228972</v>
      </c>
      <c r="M85" s="772">
        <f t="shared" si="102"/>
        <v>18.208148142488582</v>
      </c>
      <c r="N85" s="771">
        <f t="shared" si="103"/>
        <v>1545.0914280911738</v>
      </c>
      <c r="O85" s="773">
        <f t="shared" si="104"/>
        <v>124.94496389699975</v>
      </c>
      <c r="P85" s="771">
        <f t="shared" si="105"/>
        <v>5511.507172078449</v>
      </c>
      <c r="Q85" s="519">
        <f t="shared" si="106"/>
        <v>8674.7366150228972</v>
      </c>
      <c r="R85" s="521">
        <f t="shared" si="107"/>
        <v>1563.2995762336625</v>
      </c>
      <c r="S85" s="518">
        <f t="shared" si="108"/>
        <v>124.94496389699975</v>
      </c>
      <c r="T85" s="519">
        <f t="shared" si="109"/>
        <v>5511.507172078449</v>
      </c>
      <c r="U85" s="519">
        <f t="shared" si="110"/>
        <v>15874.488327232009</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402.28498815743177</v>
      </c>
      <c r="D86" s="3">
        <f>'4B Biological treatment '!T139</f>
        <v>0.87618300516540526</v>
      </c>
      <c r="E86" s="1157">
        <f>'4B Biological treatment '!U139</f>
        <v>39.428235232443228</v>
      </c>
      <c r="F86" s="1157">
        <f>'4B Biological treatment '!W139</f>
        <v>2.3656941139465939</v>
      </c>
      <c r="G86" s="952">
        <f>'4C2 Open-burning '!R112</f>
        <v>12.46053668657942</v>
      </c>
      <c r="H86" s="952">
        <f>'4C2 Open-burning '!Z112</f>
        <v>4.1925891110607356</v>
      </c>
      <c r="I86" s="952">
        <f>'4C2 Open-burning '!AH112</f>
        <v>5.836791672942028E-2</v>
      </c>
      <c r="J86" s="987">
        <f>'4D Wastewater treatment and dis'!AV149</f>
        <v>212.53895965397319</v>
      </c>
      <c r="K86" s="770">
        <f>'4D Wastewater treatment and dis'!AW149</f>
        <v>3.6211939201999317</v>
      </c>
      <c r="L86" s="771">
        <f t="shared" si="101"/>
        <v>8447.9847513060668</v>
      </c>
      <c r="M86" s="772">
        <f t="shared" si="102"/>
        <v>18.399843108473512</v>
      </c>
      <c r="N86" s="771">
        <f t="shared" si="103"/>
        <v>1561.3581152047518</v>
      </c>
      <c r="O86" s="773">
        <f t="shared" si="104"/>
        <v>118.59896220497515</v>
      </c>
      <c r="P86" s="771">
        <f t="shared" si="105"/>
        <v>5585.8882679954158</v>
      </c>
      <c r="Q86" s="519">
        <f t="shared" si="106"/>
        <v>8447.9847513060668</v>
      </c>
      <c r="R86" s="521">
        <f t="shared" si="107"/>
        <v>1579.7579583132253</v>
      </c>
      <c r="S86" s="518">
        <f t="shared" si="108"/>
        <v>118.59896220497515</v>
      </c>
      <c r="T86" s="519">
        <f t="shared" si="109"/>
        <v>5585.8882679954158</v>
      </c>
      <c r="U86" s="519">
        <f t="shared" si="110"/>
        <v>15732.229939819681</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391.99884288102442</v>
      </c>
      <c r="D87" s="3">
        <f>'4B Biological treatment '!T140</f>
        <v>0.88460177861967115</v>
      </c>
      <c r="E87" s="1157">
        <f>'4B Biological treatment '!U140</f>
        <v>39.8070800378852</v>
      </c>
      <c r="F87" s="1157">
        <f>'4B Biological treatment '!W140</f>
        <v>2.3884248022731116</v>
      </c>
      <c r="G87" s="952">
        <f>'4C2 Open-burning '!R113</f>
        <v>11.796174689802916</v>
      </c>
      <c r="H87" s="952">
        <f>'4C2 Open-burning '!Z113</f>
        <v>3.9690516388355039</v>
      </c>
      <c r="I87" s="952">
        <f>'4C2 Open-burning '!AH113</f>
        <v>5.5255897826750736E-2</v>
      </c>
      <c r="J87" s="987">
        <f>'4D Wastewater treatment and dis'!AV150</f>
        <v>215.78278030125657</v>
      </c>
      <c r="K87" s="770">
        <f>'4D Wastewater treatment and dis'!AW150</f>
        <v>3.6436849004121257</v>
      </c>
      <c r="L87" s="771">
        <f t="shared" si="101"/>
        <v>8231.9757005015126</v>
      </c>
      <c r="M87" s="772">
        <f t="shared" si="102"/>
        <v>18.576637351013094</v>
      </c>
      <c r="N87" s="771">
        <f t="shared" si="103"/>
        <v>1576.3603695002539</v>
      </c>
      <c r="O87" s="773">
        <f t="shared" si="104"/>
        <v>112.27558743164121</v>
      </c>
      <c r="P87" s="771">
        <f t="shared" si="105"/>
        <v>5660.9807054541461</v>
      </c>
      <c r="Q87" s="519">
        <f t="shared" si="106"/>
        <v>8231.9757005015126</v>
      </c>
      <c r="R87" s="521">
        <f t="shared" si="107"/>
        <v>1594.9370068512669</v>
      </c>
      <c r="S87" s="518">
        <f t="shared" si="108"/>
        <v>112.27558743164121</v>
      </c>
      <c r="T87" s="519">
        <f t="shared" si="109"/>
        <v>5660.9807054541461</v>
      </c>
      <c r="U87" s="519">
        <f t="shared" si="110"/>
        <v>15600.169000238566</v>
      </c>
    </row>
    <row r="88" spans="1:43">
      <c r="A88" s="4">
        <f>'Input data'!A143</f>
        <v>2043</v>
      </c>
      <c r="B88" s="4"/>
      <c r="C88" s="769">
        <f>'4A SWD Case 1'!BN113</f>
        <v>382.21202818125653</v>
      </c>
      <c r="D88" s="3">
        <f>'4B Biological treatment '!T141</f>
        <v>0.89303656520246277</v>
      </c>
      <c r="E88" s="1157">
        <f>'4B Biological treatment '!U141</f>
        <v>40.186645434110815</v>
      </c>
      <c r="F88" s="1157">
        <f>'4B Biological treatment '!W141</f>
        <v>2.4111987260466492</v>
      </c>
      <c r="G88" s="952">
        <f>'4C2 Open-burning '!R114</f>
        <v>11.134156537847643</v>
      </c>
      <c r="H88" s="952">
        <f>'4C2 Open-burning '!Z114</f>
        <v>3.7463027986349324</v>
      </c>
      <c r="I88" s="952">
        <f>'4C2 Open-burning '!AH114</f>
        <v>5.2154858012927324E-2</v>
      </c>
      <c r="J88" s="987">
        <f>'4D Wastewater treatment and dis'!AV151</f>
        <v>219.05869640380388</v>
      </c>
      <c r="K88" s="770">
        <f>'4D Wastewater treatment and dis'!AW151</f>
        <v>3.666315570517225</v>
      </c>
      <c r="L88" s="771">
        <f t="shared" si="101"/>
        <v>8026.4525918063873</v>
      </c>
      <c r="M88" s="772">
        <f t="shared" si="102"/>
        <v>18.753767869251718</v>
      </c>
      <c r="N88" s="771">
        <f t="shared" si="103"/>
        <v>1591.3911591907884</v>
      </c>
      <c r="O88" s="773">
        <f t="shared" si="104"/>
        <v>105.9745212931887</v>
      </c>
      <c r="P88" s="771">
        <f t="shared" si="105"/>
        <v>5736.7904513402209</v>
      </c>
      <c r="Q88" s="519">
        <f t="shared" si="106"/>
        <v>8026.4525918063873</v>
      </c>
      <c r="R88" s="521">
        <f t="shared" si="107"/>
        <v>1610.1449270600401</v>
      </c>
      <c r="S88" s="518">
        <f t="shared" si="108"/>
        <v>105.9745212931887</v>
      </c>
      <c r="T88" s="519">
        <f t="shared" si="109"/>
        <v>5736.7904513402209</v>
      </c>
      <c r="U88" s="519">
        <f t="shared" si="110"/>
        <v>15479.362491499836</v>
      </c>
    </row>
    <row r="89" spans="1:43">
      <c r="A89" s="4">
        <f>'Input data'!A144</f>
        <v>2044</v>
      </c>
      <c r="B89" s="4"/>
      <c r="C89" s="769">
        <f>'4A SWD Case 1'!BN114</f>
        <v>372.91454922806895</v>
      </c>
      <c r="D89" s="3">
        <f>'4B Biological treatment '!T142</f>
        <v>0.90165585791263203</v>
      </c>
      <c r="E89" s="1157">
        <f>'4B Biological treatment '!U142</f>
        <v>40.574513606068436</v>
      </c>
      <c r="F89" s="1157">
        <f>'4B Biological treatment '!W142</f>
        <v>2.4344708163641062</v>
      </c>
      <c r="G89" s="952">
        <f>'4C2 Open-burning '!R115</f>
        <v>10.47444933348603</v>
      </c>
      <c r="H89" s="952">
        <f>'4C2 Open-burning '!Z115</f>
        <v>3.5243315215491062</v>
      </c>
      <c r="I89" s="952">
        <f>'4C2 Open-burning '!AH115</f>
        <v>4.9064643190041744E-2</v>
      </c>
      <c r="J89" s="987">
        <f>'4D Wastewater treatment and dis'!AV152</f>
        <v>222.36698151436079</v>
      </c>
      <c r="K89" s="770">
        <f>'4D Wastewater treatment and dis'!AW152</f>
        <v>3.6890867981193103</v>
      </c>
      <c r="L89" s="771">
        <f t="shared" si="101"/>
        <v>7831.2055337894481</v>
      </c>
      <c r="M89" s="772">
        <f t="shared" si="102"/>
        <v>18.934773016165273</v>
      </c>
      <c r="N89" s="771">
        <f t="shared" si="103"/>
        <v>1606.75073880031</v>
      </c>
      <c r="O89" s="773">
        <f t="shared" si="104"/>
        <v>99.695450674930214</v>
      </c>
      <c r="P89" s="771">
        <f t="shared" si="105"/>
        <v>5813.3235192185621</v>
      </c>
      <c r="Q89" s="519">
        <f t="shared" si="106"/>
        <v>7831.2055337894481</v>
      </c>
      <c r="R89" s="521">
        <f t="shared" si="107"/>
        <v>1625.6855118164754</v>
      </c>
      <c r="S89" s="518">
        <f t="shared" si="108"/>
        <v>99.695450674930214</v>
      </c>
      <c r="T89" s="519">
        <f t="shared" si="109"/>
        <v>5813.3235192185621</v>
      </c>
      <c r="U89" s="519">
        <f t="shared" si="110"/>
        <v>15369.910015499416</v>
      </c>
    </row>
    <row r="90" spans="1:43">
      <c r="A90" s="4">
        <f>'Input data'!A145</f>
        <v>2045</v>
      </c>
      <c r="B90" s="4"/>
      <c r="C90" s="769">
        <f>'4A SWD Case 1'!BN115</f>
        <v>364.09672514221893</v>
      </c>
      <c r="D90" s="3">
        <f>'4B Biological treatment '!T143</f>
        <v>0.91052018709289761</v>
      </c>
      <c r="E90" s="1157">
        <f>'4B Biological treatment '!U143</f>
        <v>40.973408419180387</v>
      </c>
      <c r="F90" s="1157">
        <f>'4B Biological treatment '!W143</f>
        <v>2.4584045051508232</v>
      </c>
      <c r="G90" s="952">
        <f>'4C2 Open-burning '!R116</f>
        <v>9.8170207118697927</v>
      </c>
      <c r="H90" s="952">
        <f>'4C2 Open-burning '!Z116</f>
        <v>3.3031269177974401</v>
      </c>
      <c r="I90" s="952">
        <f>'4C2 Open-burning '!AH116</f>
        <v>4.5985101753968347E-2</v>
      </c>
      <c r="J90" s="987">
        <f>'4D Wastewater treatment and dis'!AV153</f>
        <v>225.70791134560363</v>
      </c>
      <c r="K90" s="770">
        <f>'4D Wastewater treatment and dis'!AW153</f>
        <v>3.711999456211089</v>
      </c>
      <c r="L90" s="771">
        <f t="shared" si="101"/>
        <v>7646.0312279865975</v>
      </c>
      <c r="M90" s="772">
        <f t="shared" si="102"/>
        <v>19.120923928950852</v>
      </c>
      <c r="N90" s="771">
        <f t="shared" si="103"/>
        <v>1622.5469733995433</v>
      </c>
      <c r="O90" s="773">
        <f t="shared" si="104"/>
        <v>93.438067529346228</v>
      </c>
      <c r="P90" s="771">
        <f t="shared" si="105"/>
        <v>5890.5859696831139</v>
      </c>
      <c r="Q90" s="519">
        <f t="shared" si="106"/>
        <v>7646.0312279865975</v>
      </c>
      <c r="R90" s="521">
        <f t="shared" si="107"/>
        <v>1641.6678973284941</v>
      </c>
      <c r="S90" s="518">
        <f t="shared" si="108"/>
        <v>93.438067529346228</v>
      </c>
      <c r="T90" s="519">
        <f t="shared" si="109"/>
        <v>5890.5859696831139</v>
      </c>
      <c r="U90" s="519">
        <f t="shared" si="110"/>
        <v>15271.723162527553</v>
      </c>
    </row>
    <row r="91" spans="1:43">
      <c r="A91" s="4">
        <f>'Input data'!A146</f>
        <v>2046</v>
      </c>
      <c r="B91" s="4"/>
      <c r="C91" s="769">
        <f>'4A SWD Case 1'!BN116</f>
        <v>355.74883742100894</v>
      </c>
      <c r="D91" s="3">
        <f>'4B Biological treatment '!T144</f>
        <v>0.92039410757635687</v>
      </c>
      <c r="E91" s="1157">
        <f>'4B Biological treatment '!U144</f>
        <v>41.417734840936056</v>
      </c>
      <c r="F91" s="1157">
        <f>'4B Biological treatment '!W144</f>
        <v>2.4850640904561638</v>
      </c>
      <c r="G91" s="952">
        <f>'4C2 Open-burning '!R117</f>
        <v>9.1644826462201969</v>
      </c>
      <c r="H91" s="952">
        <f>'4C2 Open-burning '!Z117</f>
        <v>3.0835678364023558</v>
      </c>
      <c r="I91" s="952">
        <f>'4C2 Open-burning '!AH117</f>
        <v>4.2928468766431443E-2</v>
      </c>
      <c r="J91" s="987">
        <f>'4D Wastewater treatment and dis'!AV154</f>
        <v>228.82994288598573</v>
      </c>
      <c r="K91" s="770">
        <f>'4D Wastewater treatment and dis'!AW154</f>
        <v>3.7309486194433799</v>
      </c>
      <c r="L91" s="771">
        <f t="shared" si="101"/>
        <v>7470.7255858411881</v>
      </c>
      <c r="M91" s="772">
        <f t="shared" si="102"/>
        <v>19.328276259103493</v>
      </c>
      <c r="N91" s="771">
        <f t="shared" si="103"/>
        <v>1640.1422997010679</v>
      </c>
      <c r="O91" s="773">
        <f t="shared" si="104"/>
        <v>87.227232528263414</v>
      </c>
      <c r="P91" s="771">
        <f t="shared" si="105"/>
        <v>5962.0228726331479</v>
      </c>
      <c r="Q91" s="519">
        <f t="shared" si="106"/>
        <v>7470.7255858411881</v>
      </c>
      <c r="R91" s="521">
        <f t="shared" si="107"/>
        <v>1659.4705759601713</v>
      </c>
      <c r="S91" s="518">
        <f t="shared" si="108"/>
        <v>87.227232528263414</v>
      </c>
      <c r="T91" s="519">
        <f t="shared" si="109"/>
        <v>5962.0228726331479</v>
      </c>
      <c r="U91" s="519">
        <f t="shared" si="110"/>
        <v>15179.44626696277</v>
      </c>
    </row>
    <row r="92" spans="1:43">
      <c r="A92" s="4">
        <f>'Input data'!A147</f>
        <v>2047</v>
      </c>
      <c r="B92" s="4"/>
      <c r="C92" s="769">
        <f>'4A SWD Case 1'!BN117</f>
        <v>347.38477183678401</v>
      </c>
      <c r="D92" s="3">
        <f>'4B Biological treatment '!T145</f>
        <v>0.92810775328285189</v>
      </c>
      <c r="E92" s="1157">
        <f>'4B Biological treatment '!U145</f>
        <v>41.764848897728335</v>
      </c>
      <c r="F92" s="1157">
        <f>'4B Biological treatment '!W145</f>
        <v>2.5058909338637001</v>
      </c>
      <c r="G92" s="952">
        <f>'4C2 Open-burning '!R118</f>
        <v>8.5137490095967827</v>
      </c>
      <c r="H92" s="952">
        <f>'4C2 Open-burning '!Z118</f>
        <v>2.8646158901313141</v>
      </c>
      <c r="I92" s="952">
        <f>'4C2 Open-burning '!AH118</f>
        <v>3.9880288124551327E-2</v>
      </c>
      <c r="J92" s="987">
        <f>'4D Wastewater treatment and dis'!AV155</f>
        <v>231.97796755845934</v>
      </c>
      <c r="K92" s="770">
        <f>'4D Wastewater treatment and dis'!AW155</f>
        <v>3.74999451512174</v>
      </c>
      <c r="L92" s="771">
        <f t="shared" si="101"/>
        <v>7295.0802085724645</v>
      </c>
      <c r="M92" s="772">
        <f t="shared" si="102"/>
        <v>19.49026281893989</v>
      </c>
      <c r="N92" s="771">
        <f t="shared" si="103"/>
        <v>1653.8880163500421</v>
      </c>
      <c r="O92" s="773">
        <f t="shared" si="104"/>
        <v>81.033572020965295</v>
      </c>
      <c r="P92" s="771">
        <f t="shared" si="105"/>
        <v>6034.0356184153861</v>
      </c>
      <c r="Q92" s="519">
        <f t="shared" si="106"/>
        <v>7295.0802085724645</v>
      </c>
      <c r="R92" s="521">
        <f t="shared" si="107"/>
        <v>1673.3782791689821</v>
      </c>
      <c r="S92" s="518">
        <f t="shared" si="108"/>
        <v>81.033572020965295</v>
      </c>
      <c r="T92" s="519">
        <f t="shared" si="109"/>
        <v>6034.0356184153861</v>
      </c>
      <c r="U92" s="519">
        <f t="shared" si="110"/>
        <v>15083.527678177799</v>
      </c>
    </row>
    <row r="93" spans="1:43">
      <c r="A93" s="4">
        <f>'Input data'!A148</f>
        <v>2048</v>
      </c>
      <c r="B93" s="4"/>
      <c r="C93" s="769">
        <f>'4A SWD Case 1'!BN118</f>
        <v>339.00520815730943</v>
      </c>
      <c r="D93" s="3">
        <f>'4B Biological treatment '!T146</f>
        <v>0.93601489503343793</v>
      </c>
      <c r="E93" s="1157">
        <f>'4B Biological treatment '!U146</f>
        <v>42.120670276504697</v>
      </c>
      <c r="F93" s="1157">
        <f>'4B Biological treatment '!W146</f>
        <v>2.5272402165902821</v>
      </c>
      <c r="G93" s="952">
        <f>'4C2 Open-burning '!R119</f>
        <v>8.502485492904615</v>
      </c>
      <c r="H93" s="952">
        <f>'4C2 Open-burning '!Z119</f>
        <v>2.8608260616011587</v>
      </c>
      <c r="I93" s="952">
        <f>'4C2 Open-burning '!AH119</f>
        <v>3.9827527314892378E-2</v>
      </c>
      <c r="J93" s="987">
        <f>'4D Wastewater treatment and dis'!AV156</f>
        <v>235.15216938634282</v>
      </c>
      <c r="K93" s="770">
        <f>'4D Wastewater treatment and dis'!AW156</f>
        <v>3.769137637049826</v>
      </c>
      <c r="L93" s="771">
        <f t="shared" si="101"/>
        <v>7119.1093713034979</v>
      </c>
      <c r="M93" s="772">
        <f t="shared" si="102"/>
        <v>19.656312795702195</v>
      </c>
      <c r="N93" s="771">
        <f t="shared" si="103"/>
        <v>1667.978542949586</v>
      </c>
      <c r="O93" s="773">
        <f t="shared" si="104"/>
        <v>80.926366254145591</v>
      </c>
      <c r="P93" s="771">
        <f t="shared" si="105"/>
        <v>6106.6282245986458</v>
      </c>
      <c r="Q93" s="519">
        <f t="shared" si="106"/>
        <v>7119.1093713034979</v>
      </c>
      <c r="R93" s="521">
        <f t="shared" si="107"/>
        <v>1687.6348557452882</v>
      </c>
      <c r="S93" s="518">
        <f t="shared" si="108"/>
        <v>80.926366254145591</v>
      </c>
      <c r="T93" s="519">
        <f t="shared" si="109"/>
        <v>6106.6282245986458</v>
      </c>
      <c r="U93" s="519">
        <f t="shared" si="110"/>
        <v>14994.298817901577</v>
      </c>
    </row>
    <row r="94" spans="1:43">
      <c r="A94" s="4">
        <f>'Input data'!A149</f>
        <v>2049</v>
      </c>
      <c r="B94" s="4"/>
      <c r="C94" s="769">
        <f>'4A SWD Case 1'!BN119</f>
        <v>330.90081221177439</v>
      </c>
      <c r="D94" s="3">
        <f>'4B Biological treatment '!T147</f>
        <v>0.94369175236896097</v>
      </c>
      <c r="E94" s="1157">
        <f>'4B Biological treatment '!U147</f>
        <v>42.466128856603234</v>
      </c>
      <c r="F94" s="1157">
        <f>'4B Biological treatment '!W147</f>
        <v>2.5479677313961941</v>
      </c>
      <c r="G94" s="952">
        <f>'4C2 Open-burning '!R120</f>
        <v>8.491308719896784</v>
      </c>
      <c r="H94" s="952">
        <f>'4C2 Open-burning '!Z120</f>
        <v>2.8570654196650942</v>
      </c>
      <c r="I94" s="952">
        <f>'4C2 Open-burning '!AH120</f>
        <v>3.9775172831884656E-2</v>
      </c>
      <c r="J94" s="987">
        <f>'4D Wastewater treatment and dis'!AV157</f>
        <v>238.35273359440882</v>
      </c>
      <c r="K94" s="770">
        <f>'4D Wastewater treatment and dis'!AW157</f>
        <v>3.7883784815520856</v>
      </c>
      <c r="L94" s="771">
        <f t="shared" si="101"/>
        <v>6948.9170564472624</v>
      </c>
      <c r="M94" s="772">
        <f t="shared" si="102"/>
        <v>19.81752679974818</v>
      </c>
      <c r="N94" s="771">
        <f t="shared" si="103"/>
        <v>1681.6587027214882</v>
      </c>
      <c r="O94" s="773">
        <f t="shared" si="104"/>
        <v>80.81998611074799</v>
      </c>
      <c r="P94" s="771">
        <f t="shared" si="105"/>
        <v>6179.8047347637312</v>
      </c>
      <c r="Q94" s="519">
        <f t="shared" si="106"/>
        <v>6948.9170564472624</v>
      </c>
      <c r="R94" s="521">
        <f t="shared" si="107"/>
        <v>1701.4762295212363</v>
      </c>
      <c r="S94" s="518">
        <f t="shared" si="108"/>
        <v>80.81998611074799</v>
      </c>
      <c r="T94" s="519">
        <f t="shared" si="109"/>
        <v>6179.8047347637312</v>
      </c>
      <c r="U94" s="519">
        <f t="shared" si="110"/>
        <v>14911.018006842978</v>
      </c>
    </row>
    <row r="95" spans="1:43">
      <c r="A95" s="4">
        <f>'Input data'!A150</f>
        <v>2050</v>
      </c>
      <c r="B95" s="4"/>
      <c r="C95" s="769">
        <f>'4A SWD Case 1'!BN120</f>
        <v>323.06798200137138</v>
      </c>
      <c r="D95" s="3">
        <f>'4B Biological treatment '!T148</f>
        <v>0.95159943533420632</v>
      </c>
      <c r="E95" s="1157">
        <f>'4B Biological treatment '!U148</f>
        <v>42.821974590039275</v>
      </c>
      <c r="F95" s="1157">
        <f>'4B Biological treatment '!W148</f>
        <v>2.5693184754023566</v>
      </c>
      <c r="G95" s="952">
        <f>'4C2 Open-burning '!R121</f>
        <v>8.480217835584158</v>
      </c>
      <c r="H95" s="952">
        <f>'4C2 Open-burning '!Z121</f>
        <v>2.8533336766454509</v>
      </c>
      <c r="I95" s="952">
        <f>'4C2 Open-burning '!AH121</f>
        <v>3.9723220670569465E-2</v>
      </c>
      <c r="J95" s="987">
        <f>'4D Wastewater treatment and dis'!AV158</f>
        <v>241.57984661635467</v>
      </c>
      <c r="K95" s="770">
        <f>'4D Wastewater treatment and dis'!AW158</f>
        <v>3.8077175474866229</v>
      </c>
      <c r="L95" s="771">
        <f t="shared" si="101"/>
        <v>6784.4276220287993</v>
      </c>
      <c r="M95" s="772">
        <f t="shared" si="102"/>
        <v>19.983588142018334</v>
      </c>
      <c r="N95" s="771">
        <f t="shared" si="103"/>
        <v>1695.7501937655552</v>
      </c>
      <c r="O95" s="773">
        <f t="shared" si="104"/>
        <v>80.714423453015158</v>
      </c>
      <c r="P95" s="771">
        <f t="shared" si="105"/>
        <v>6253.5692186643009</v>
      </c>
      <c r="Q95" s="471">
        <f t="shared" si="106"/>
        <v>6784.4276220287993</v>
      </c>
      <c r="R95" s="517">
        <f t="shared" si="107"/>
        <v>1715.7337819075735</v>
      </c>
      <c r="S95" s="514">
        <f t="shared" si="108"/>
        <v>80.714423453015158</v>
      </c>
      <c r="T95" s="471">
        <f t="shared" si="109"/>
        <v>6253.5692186643009</v>
      </c>
      <c r="U95" s="471">
        <f t="shared" si="110"/>
        <v>14834.445046053688</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820.5169947820342</v>
      </c>
      <c r="D97" s="3">
        <f>'4B Biological treatment '!T150</f>
        <v>0.32115863087580998</v>
      </c>
      <c r="E97" s="1157">
        <f>'4B Biological treatment '!U150</f>
        <v>20.384176057159792</v>
      </c>
      <c r="F97" s="1157">
        <f>'4B Biological treatment '!W150</f>
        <v>1.2230505634295874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17230.856890422718</v>
      </c>
      <c r="M97" s="772">
        <f t="shared" ref="M97:M129" si="112">D97*$B$3</f>
        <v>6.7443312483920099</v>
      </c>
      <c r="N97" s="771">
        <f t="shared" ref="N97:N129" si="113">E97*$B$3+F97*$C$3</f>
        <v>807.21337186352775</v>
      </c>
      <c r="O97" s="773">
        <f t="shared" ref="O97:O129" si="114">G97+H97*$B$3+I97*$C$3</f>
        <v>313.30333811016675</v>
      </c>
      <c r="P97" s="771">
        <f t="shared" ref="P97:P129" si="115">J97*$B$3+K97*$C$3</f>
        <v>3778.1317878798554</v>
      </c>
      <c r="Q97" s="471">
        <f t="shared" si="74"/>
        <v>17230.856890422718</v>
      </c>
      <c r="R97" s="517">
        <f t="shared" si="75"/>
        <v>813.95770311191973</v>
      </c>
      <c r="S97" s="514">
        <f t="shared" si="76"/>
        <v>313.30333811016675</v>
      </c>
      <c r="T97" s="471">
        <f t="shared" si="77"/>
        <v>3778.1317878798554</v>
      </c>
      <c r="U97" s="471">
        <f t="shared" si="78"/>
        <v>22136.249719524658</v>
      </c>
    </row>
    <row r="98" spans="1:21">
      <c r="A98" s="4">
        <f>'Input data'!A119</f>
        <v>2019</v>
      </c>
      <c r="B98" s="4"/>
      <c r="C98" s="769">
        <f>'4A SWD Case 2'!BG89</f>
        <v>801.89995091572371</v>
      </c>
      <c r="D98" s="3">
        <f>'4B Biological treatment '!T151</f>
        <v>0.43039261674586826</v>
      </c>
      <c r="E98" s="1157">
        <f>'4B Biological treatment '!U151</f>
        <v>24.180714260811577</v>
      </c>
      <c r="F98" s="1157">
        <f>'4B Biological treatment '!W151</f>
        <v>1.4508428556486945</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16839.898969230198</v>
      </c>
      <c r="M98" s="772">
        <f t="shared" si="112"/>
        <v>9.0382449516632342</v>
      </c>
      <c r="N98" s="771">
        <f t="shared" si="113"/>
        <v>957.55628472813851</v>
      </c>
      <c r="O98" s="773">
        <f t="shared" si="114"/>
        <v>307.81392004196488</v>
      </c>
      <c r="P98" s="771">
        <f t="shared" si="115"/>
        <v>3922.0560748079342</v>
      </c>
      <c r="Q98" s="519">
        <f t="shared" si="74"/>
        <v>16839.898969230198</v>
      </c>
      <c r="R98" s="521">
        <f t="shared" si="75"/>
        <v>966.59452967980178</v>
      </c>
      <c r="S98" s="518">
        <f t="shared" si="76"/>
        <v>307.81392004196488</v>
      </c>
      <c r="T98" s="519">
        <f t="shared" si="77"/>
        <v>3922.0560748079342</v>
      </c>
      <c r="U98" s="519">
        <f t="shared" si="78"/>
        <v>22036.363493759898</v>
      </c>
    </row>
    <row r="99" spans="1:21">
      <c r="A99" s="4">
        <f>'Input data'!A120</f>
        <v>2020</v>
      </c>
      <c r="B99" s="4"/>
      <c r="C99" s="769">
        <f>'4A SWD Case 2'!BG90</f>
        <v>781.98451494371977</v>
      </c>
      <c r="D99" s="3">
        <f>'4B Biological treatment '!T152</f>
        <v>0.50089413269021521</v>
      </c>
      <c r="E99" s="1157">
        <f>'4B Biological treatment '!U152</f>
        <v>26.234291317806349</v>
      </c>
      <c r="F99" s="1157">
        <f>'4B Biological treatment '!W152</f>
        <v>1.5740574790683808</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16421.674813818114</v>
      </c>
      <c r="M99" s="772">
        <f t="shared" si="112"/>
        <v>10.51877678649452</v>
      </c>
      <c r="N99" s="771">
        <f t="shared" si="113"/>
        <v>1038.8779361851314</v>
      </c>
      <c r="O99" s="773">
        <f t="shared" si="114"/>
        <v>299.52410113774715</v>
      </c>
      <c r="P99" s="771">
        <f t="shared" si="115"/>
        <v>4069.6472808319609</v>
      </c>
      <c r="Q99" s="519">
        <f t="shared" si="74"/>
        <v>16421.674813818114</v>
      </c>
      <c r="R99" s="521">
        <f t="shared" si="75"/>
        <v>1049.3967129716259</v>
      </c>
      <c r="S99" s="518">
        <f t="shared" si="76"/>
        <v>299.52410113774715</v>
      </c>
      <c r="T99" s="519">
        <f t="shared" si="77"/>
        <v>4069.6472808319609</v>
      </c>
      <c r="U99" s="519">
        <f t="shared" si="78"/>
        <v>21840.242908759446</v>
      </c>
    </row>
    <row r="100" spans="1:21">
      <c r="A100" s="4">
        <f>'Input data'!A121</f>
        <v>2021</v>
      </c>
      <c r="B100" s="4"/>
      <c r="C100" s="769">
        <f>'4A SWD Case 2'!BG91</f>
        <v>760.99969410239532</v>
      </c>
      <c r="D100" s="3">
        <f>'4B Biological treatment '!T153</f>
        <v>0.65485060799050976</v>
      </c>
      <c r="E100" s="1157">
        <f>'4B Biological treatment '!U153</f>
        <v>31.800662708194608</v>
      </c>
      <c r="F100" s="1157">
        <f>'4B Biological treatment '!W153</f>
        <v>1.9080397624916765</v>
      </c>
      <c r="G100" s="952">
        <f>'4C2 Open-burning '!R126</f>
        <v>28.931012243244801</v>
      </c>
      <c r="H100" s="952">
        <f>'4C2 Open-burning '!Z126</f>
        <v>9.7343998861328558</v>
      </c>
      <c r="I100" s="952">
        <f>'4C2 Open-burning '!AH126</f>
        <v>0.13551927625479393</v>
      </c>
      <c r="J100" s="987">
        <f>'4D Wastewater treatment and dis'!AV163</f>
        <v>155.42542691703585</v>
      </c>
      <c r="K100" s="770">
        <f>'4D Wastewater treatment and dis'!AW163</f>
        <v>3.0248585614028385</v>
      </c>
      <c r="L100" s="771">
        <f t="shared" si="111"/>
        <v>15980.993576150302</v>
      </c>
      <c r="M100" s="772">
        <f t="shared" si="112"/>
        <v>13.751862767800706</v>
      </c>
      <c r="N100" s="771">
        <f t="shared" si="113"/>
        <v>1259.3062432445065</v>
      </c>
      <c r="O100" s="773">
        <f t="shared" si="114"/>
        <v>275.36438549102087</v>
      </c>
      <c r="P100" s="771">
        <f t="shared" si="115"/>
        <v>4201.6401192926323</v>
      </c>
      <c r="Q100" s="519">
        <f t="shared" si="74"/>
        <v>15980.993576150302</v>
      </c>
      <c r="R100" s="521">
        <f t="shared" si="75"/>
        <v>1273.0581060123072</v>
      </c>
      <c r="S100" s="518">
        <f t="shared" si="76"/>
        <v>275.36438549102087</v>
      </c>
      <c r="T100" s="519">
        <f t="shared" si="77"/>
        <v>4201.6401192926323</v>
      </c>
      <c r="U100" s="519">
        <f t="shared" si="78"/>
        <v>21731.056186946262</v>
      </c>
    </row>
    <row r="101" spans="1:21">
      <c r="A101" s="4">
        <f>'Input data'!A122</f>
        <v>2022</v>
      </c>
      <c r="B101" s="4"/>
      <c r="C101" s="769">
        <f>'4A SWD Case 2'!BG92</f>
        <v>735.15805853826225</v>
      </c>
      <c r="D101" s="3">
        <f>'4B Biological treatment '!T154</f>
        <v>0.76647999225981589</v>
      </c>
      <c r="E101" s="1157">
        <f>'4B Biological treatment '!U154</f>
        <v>34.491599651691715</v>
      </c>
      <c r="F101" s="1157">
        <f>'4B Biological treatment '!W154</f>
        <v>2.0694959791015028</v>
      </c>
      <c r="G101" s="952">
        <f>'4C2 Open-burning '!R127</f>
        <v>24.077995052126731</v>
      </c>
      <c r="H101" s="952">
        <f>'4C2 Open-burning '!Z127</f>
        <v>8.1015081782510823</v>
      </c>
      <c r="I101" s="952">
        <f>'4C2 Open-burning '!AH127</f>
        <v>0.11278666766637657</v>
      </c>
      <c r="J101" s="987">
        <f>'4D Wastewater treatment and dis'!AV164</f>
        <v>161.31571105616422</v>
      </c>
      <c r="K101" s="770">
        <f>'4D Wastewater treatment and dis'!AW164</f>
        <v>3.0596873027184164</v>
      </c>
      <c r="L101" s="771">
        <f t="shared" si="111"/>
        <v>15438.319229303508</v>
      </c>
      <c r="M101" s="772">
        <f t="shared" si="112"/>
        <v>16.096079837456134</v>
      </c>
      <c r="N101" s="771">
        <f t="shared" si="113"/>
        <v>1365.8673462069919</v>
      </c>
      <c r="O101" s="773">
        <f t="shared" si="114"/>
        <v>229.17353377197622</v>
      </c>
      <c r="P101" s="771">
        <f t="shared" si="115"/>
        <v>4336.1329960221574</v>
      </c>
      <c r="Q101" s="519">
        <f t="shared" si="74"/>
        <v>15438.319229303508</v>
      </c>
      <c r="R101" s="521">
        <f t="shared" si="75"/>
        <v>1381.9634260444479</v>
      </c>
      <c r="S101" s="518">
        <f t="shared" si="76"/>
        <v>229.17353377197622</v>
      </c>
      <c r="T101" s="519">
        <f t="shared" si="77"/>
        <v>4336.1329960221574</v>
      </c>
      <c r="U101" s="519">
        <f t="shared" si="78"/>
        <v>21385.589185142089</v>
      </c>
    </row>
    <row r="102" spans="1:21">
      <c r="A102" s="4">
        <f>'Input data'!A123</f>
        <v>2023</v>
      </c>
      <c r="B102" s="4"/>
      <c r="C102" s="769">
        <f>'4A SWD Case 2'!BG93</f>
        <v>707.55740382176486</v>
      </c>
      <c r="D102" s="3">
        <f>'4B Biological treatment '!T155</f>
        <v>0.77051512645509768</v>
      </c>
      <c r="E102" s="1157">
        <f>'4B Biological treatment '!U155</f>
        <v>34.673180690479391</v>
      </c>
      <c r="F102" s="1157">
        <f>'4B Biological treatment '!W155</f>
        <v>2.0803908414287635</v>
      </c>
      <c r="G102" s="952">
        <f>'4C2 Open-burning '!R128</f>
        <v>22.834713354191653</v>
      </c>
      <c r="H102" s="952">
        <f>'4C2 Open-burning '!Z128</f>
        <v>7.6831819504283345</v>
      </c>
      <c r="I102" s="952">
        <f>'4C2 Open-burning '!AH128</f>
        <v>0.10696286051893281</v>
      </c>
      <c r="J102" s="987">
        <f>'4D Wastewater treatment and dis'!AV165</f>
        <v>167.32103297774702</v>
      </c>
      <c r="K102" s="770">
        <f>'4D Wastewater treatment and dis'!AW165</f>
        <v>3.0949170681470224</v>
      </c>
      <c r="L102" s="771">
        <f t="shared" si="111"/>
        <v>14858.705480257062</v>
      </c>
      <c r="M102" s="772">
        <f t="shared" si="112"/>
        <v>16.18081765555705</v>
      </c>
      <c r="N102" s="771">
        <f t="shared" si="113"/>
        <v>1373.0579553429839</v>
      </c>
      <c r="O102" s="773">
        <f t="shared" si="114"/>
        <v>217.34002107405581</v>
      </c>
      <c r="P102" s="771">
        <f t="shared" si="115"/>
        <v>4473.1659836582639</v>
      </c>
      <c r="Q102" s="519">
        <f t="shared" si="74"/>
        <v>14858.705480257062</v>
      </c>
      <c r="R102" s="521">
        <f t="shared" si="75"/>
        <v>1389.238772998541</v>
      </c>
      <c r="S102" s="518">
        <f t="shared" si="76"/>
        <v>217.34002107405581</v>
      </c>
      <c r="T102" s="519">
        <f t="shared" si="77"/>
        <v>4473.1659836582639</v>
      </c>
      <c r="U102" s="519">
        <f t="shared" si="78"/>
        <v>20938.450257987919</v>
      </c>
    </row>
    <row r="103" spans="1:21">
      <c r="A103" s="4">
        <f>'Input data'!A124</f>
        <v>2024</v>
      </c>
      <c r="B103" s="4"/>
      <c r="C103" s="769">
        <f>'4A SWD Case 2'!BG94</f>
        <v>681.08118763166567</v>
      </c>
      <c r="D103" s="3">
        <f>'4B Biological treatment '!T156</f>
        <v>0.77484988637531482</v>
      </c>
      <c r="E103" s="1157">
        <f>'4B Biological treatment '!U156</f>
        <v>34.868244886889158</v>
      </c>
      <c r="F103" s="1157">
        <f>'4B Biological treatment '!W156</f>
        <v>2.0920946932133497</v>
      </c>
      <c r="G103" s="952">
        <f>'4C2 Open-burning '!R129</f>
        <v>21.570135720604139</v>
      </c>
      <c r="H103" s="952">
        <f>'4C2 Open-burning '!Z129</f>
        <v>7.2576902922415494</v>
      </c>
      <c r="I103" s="952">
        <f>'4C2 Open-burning '!AH129</f>
        <v>0.10103929848692009</v>
      </c>
      <c r="J103" s="987">
        <f>'4D Wastewater treatment and dis'!AV166</f>
        <v>173.44326090016418</v>
      </c>
      <c r="K103" s="770">
        <f>'4D Wastewater treatment and dis'!AW166</f>
        <v>3.1305524751492158</v>
      </c>
      <c r="L103" s="771">
        <f t="shared" si="111"/>
        <v>14302.704940264979</v>
      </c>
      <c r="M103" s="772">
        <f t="shared" si="112"/>
        <v>16.271847613881611</v>
      </c>
      <c r="N103" s="771">
        <f t="shared" si="113"/>
        <v>1380.7824975208109</v>
      </c>
      <c r="O103" s="773">
        <f t="shared" si="114"/>
        <v>205.3038143886219</v>
      </c>
      <c r="P103" s="771">
        <f t="shared" si="115"/>
        <v>4612.7797461997052</v>
      </c>
      <c r="Q103" s="519">
        <f t="shared" si="74"/>
        <v>14302.704940264979</v>
      </c>
      <c r="R103" s="521">
        <f t="shared" si="75"/>
        <v>1397.0543451346925</v>
      </c>
      <c r="S103" s="518">
        <f t="shared" si="76"/>
        <v>205.3038143886219</v>
      </c>
      <c r="T103" s="519">
        <f t="shared" si="77"/>
        <v>4612.7797461997052</v>
      </c>
      <c r="U103" s="519">
        <f t="shared" si="78"/>
        <v>20517.842845988001</v>
      </c>
    </row>
    <row r="104" spans="1:21">
      <c r="A104" s="4">
        <f>'Input data'!A125</f>
        <v>2025</v>
      </c>
      <c r="B104" s="4"/>
      <c r="C104" s="769">
        <f>'4A SWD Case 2'!BG95</f>
        <v>655.64849554933812</v>
      </c>
      <c r="D104" s="3">
        <f>'4B Biological treatment '!T157</f>
        <v>0.77866398518281921</v>
      </c>
      <c r="E104" s="1157">
        <f>'4B Biological treatment '!U157</f>
        <v>35.039879333226864</v>
      </c>
      <c r="F104" s="1157">
        <f>'4B Biological treatment '!W157</f>
        <v>2.1023927599936116</v>
      </c>
      <c r="G104" s="952">
        <f>'4C2 Open-burning '!R130</f>
        <v>20.283486456074918</v>
      </c>
      <c r="H104" s="952">
        <f>'4C2 Open-burning '!Z130</f>
        <v>6.8247722059740834</v>
      </c>
      <c r="I104" s="952">
        <f>'4C2 Open-burning '!AH130</f>
        <v>9.5012348041607686E-2</v>
      </c>
      <c r="J104" s="987">
        <f>'4D Wastewater treatment and dis'!AV167</f>
        <v>179.68429081250378</v>
      </c>
      <c r="K104" s="770">
        <f>'4D Wastewater treatment and dis'!AW167</f>
        <v>3.166598194351784</v>
      </c>
      <c r="L104" s="771">
        <f t="shared" si="111"/>
        <v>13768.618406536101</v>
      </c>
      <c r="M104" s="772">
        <f t="shared" si="112"/>
        <v>16.351943688839203</v>
      </c>
      <c r="N104" s="771">
        <f t="shared" si="113"/>
        <v>1387.5792215957838</v>
      </c>
      <c r="O104" s="773">
        <f t="shared" si="114"/>
        <v>193.05753067442905</v>
      </c>
      <c r="P104" s="771">
        <f t="shared" si="115"/>
        <v>4755.015547311632</v>
      </c>
      <c r="Q104" s="519">
        <f t="shared" si="74"/>
        <v>13768.618406536101</v>
      </c>
      <c r="R104" s="521">
        <f t="shared" si="75"/>
        <v>1403.9311652846229</v>
      </c>
      <c r="S104" s="518">
        <f t="shared" si="76"/>
        <v>193.05753067442905</v>
      </c>
      <c r="T104" s="519">
        <f t="shared" si="77"/>
        <v>4755.015547311632</v>
      </c>
      <c r="U104" s="519">
        <f t="shared" si="78"/>
        <v>20120.622649806784</v>
      </c>
    </row>
    <row r="105" spans="1:21">
      <c r="A105" s="4">
        <f>'Input data'!A126</f>
        <v>2026</v>
      </c>
      <c r="B105" s="4"/>
      <c r="C105" s="769">
        <f>'4A SWD Case 2'!BG96</f>
        <v>631.18188544040254</v>
      </c>
      <c r="D105" s="3">
        <f>'4B Biological treatment '!T158</f>
        <v>0.78216930196499357</v>
      </c>
      <c r="E105" s="1157">
        <f>'4B Biological treatment '!U158</f>
        <v>35.197618588424703</v>
      </c>
      <c r="F105" s="1157">
        <f>'4B Biological treatment '!W158</f>
        <v>2.1118571153054821</v>
      </c>
      <c r="G105" s="952">
        <f>'4C2 Open-burning '!R131</f>
        <v>18.985188117273655</v>
      </c>
      <c r="H105" s="952">
        <f>'4C2 Open-burning '!Z131</f>
        <v>6.3879345628548228</v>
      </c>
      <c r="I105" s="952">
        <f>'4C2 Open-burning '!AH131</f>
        <v>8.8930830749442052E-2</v>
      </c>
      <c r="J105" s="987">
        <f>'4D Wastewater treatment and dis'!AV168</f>
        <v>185.73930530907452</v>
      </c>
      <c r="K105" s="770">
        <f>'4D Wastewater treatment and dis'!AW168</f>
        <v>3.1977779387807019</v>
      </c>
      <c r="L105" s="771">
        <f t="shared" si="111"/>
        <v>13254.819594248453</v>
      </c>
      <c r="M105" s="772">
        <f t="shared" si="112"/>
        <v>16.425555341264864</v>
      </c>
      <c r="N105" s="771">
        <f t="shared" si="113"/>
        <v>1393.8256961016182</v>
      </c>
      <c r="O105" s="773">
        <f t="shared" si="114"/>
        <v>180.70037146955198</v>
      </c>
      <c r="P105" s="771">
        <f t="shared" si="115"/>
        <v>4891.8365725125823</v>
      </c>
      <c r="Q105" s="519">
        <f t="shared" si="74"/>
        <v>13254.819594248453</v>
      </c>
      <c r="R105" s="521">
        <f t="shared" si="75"/>
        <v>1410.2512514428831</v>
      </c>
      <c r="S105" s="518">
        <f t="shared" si="76"/>
        <v>180.70037146955198</v>
      </c>
      <c r="T105" s="519">
        <f t="shared" si="77"/>
        <v>4891.8365725125823</v>
      </c>
      <c r="U105" s="519">
        <f t="shared" si="78"/>
        <v>19737.607789673471</v>
      </c>
    </row>
    <row r="106" spans="1:21">
      <c r="A106" s="4">
        <f>'Input data'!A127</f>
        <v>2027</v>
      </c>
      <c r="B106" s="4"/>
      <c r="C106" s="769">
        <f>'4A SWD Case 2'!BG97</f>
        <v>607.60340968217383</v>
      </c>
      <c r="D106" s="3">
        <f>'4B Biological treatment '!T159</f>
        <v>0.78539193080655012</v>
      </c>
      <c r="E106" s="1157">
        <f>'4B Biological treatment '!U159</f>
        <v>35.342636886294748</v>
      </c>
      <c r="F106" s="1157">
        <f>'4B Biological treatment '!W159</f>
        <v>2.1205582131776852</v>
      </c>
      <c r="G106" s="952">
        <f>'4C2 Open-burning '!R132</f>
        <v>17.661577035208047</v>
      </c>
      <c r="H106" s="952">
        <f>'4C2 Open-burning '!Z132</f>
        <v>5.9425799565861794</v>
      </c>
      <c r="I106" s="952">
        <f>'4C2 Open-burning '!AH132</f>
        <v>8.2730742955201886E-2</v>
      </c>
      <c r="J106" s="987">
        <f>'4D Wastewater treatment and dis'!AV169</f>
        <v>191.89613972825521</v>
      </c>
      <c r="K106" s="770">
        <f>'4D Wastewater treatment and dis'!AW169</f>
        <v>3.2292646929415123</v>
      </c>
      <c r="L106" s="771">
        <f t="shared" si="111"/>
        <v>12759.671603325651</v>
      </c>
      <c r="M106" s="772">
        <f t="shared" si="112"/>
        <v>16.493230546937554</v>
      </c>
      <c r="N106" s="771">
        <f t="shared" si="113"/>
        <v>1399.5684206972721</v>
      </c>
      <c r="O106" s="773">
        <f t="shared" si="114"/>
        <v>168.10228643963038</v>
      </c>
      <c r="P106" s="771">
        <f t="shared" si="115"/>
        <v>5030.8909891052281</v>
      </c>
      <c r="Q106" s="519">
        <f t="shared" si="74"/>
        <v>12759.671603325651</v>
      </c>
      <c r="R106" s="521">
        <f t="shared" si="75"/>
        <v>1416.0616512442098</v>
      </c>
      <c r="S106" s="518">
        <f t="shared" si="76"/>
        <v>168.10228643963038</v>
      </c>
      <c r="T106" s="519">
        <f t="shared" si="77"/>
        <v>5030.8909891052281</v>
      </c>
      <c r="U106" s="519">
        <f t="shared" si="78"/>
        <v>19374.72653011472</v>
      </c>
    </row>
    <row r="107" spans="1:21">
      <c r="A107" s="4">
        <f>'Input data'!A128</f>
        <v>2028</v>
      </c>
      <c r="B107" s="4"/>
      <c r="C107" s="769">
        <f>'4A SWD Case 2'!BG98</f>
        <v>584.84252884471437</v>
      </c>
      <c r="D107" s="3">
        <f>'4B Biological treatment '!T160</f>
        <v>0.78912390201466587</v>
      </c>
      <c r="E107" s="1157">
        <f>'4B Biological treatment '!U160</f>
        <v>35.510575590659961</v>
      </c>
      <c r="F107" s="1157">
        <f>'4B Biological treatment '!W160</f>
        <v>2.1306345354395977</v>
      </c>
      <c r="G107" s="952">
        <f>'4C2 Open-burning '!R133</f>
        <v>16.311739327952857</v>
      </c>
      <c r="H107" s="952">
        <f>'4C2 Open-burning '!Z133</f>
        <v>5.48840089387914</v>
      </c>
      <c r="I107" s="952">
        <f>'4C2 Open-burning '!AH133</f>
        <v>7.6407803833313151E-2</v>
      </c>
      <c r="J107" s="987">
        <f>'4D Wastewater treatment and dis'!AV170</f>
        <v>198.15621215016739</v>
      </c>
      <c r="K107" s="770">
        <f>'4D Wastewater treatment and dis'!AW170</f>
        <v>3.2610614797895683</v>
      </c>
      <c r="L107" s="771">
        <f t="shared" si="111"/>
        <v>12281.693105739001</v>
      </c>
      <c r="M107" s="772">
        <f t="shared" si="112"/>
        <v>16.571601942307982</v>
      </c>
      <c r="N107" s="771">
        <f t="shared" si="113"/>
        <v>1406.2187933901346</v>
      </c>
      <c r="O107" s="773">
        <f t="shared" si="114"/>
        <v>155.25457728774188</v>
      </c>
      <c r="P107" s="771">
        <f t="shared" si="115"/>
        <v>5172.2095138882814</v>
      </c>
      <c r="Q107" s="519">
        <f t="shared" si="74"/>
        <v>12281.693105739001</v>
      </c>
      <c r="R107" s="521">
        <f t="shared" si="75"/>
        <v>1422.7903953324426</v>
      </c>
      <c r="S107" s="518">
        <f t="shared" si="76"/>
        <v>155.25457728774188</v>
      </c>
      <c r="T107" s="519">
        <f t="shared" si="77"/>
        <v>5172.2095138882814</v>
      </c>
      <c r="U107" s="519">
        <f t="shared" si="78"/>
        <v>19031.947592247467</v>
      </c>
    </row>
    <row r="108" spans="1:21">
      <c r="A108" s="4">
        <f>'Input data'!A129</f>
        <v>2029</v>
      </c>
      <c r="B108" s="4"/>
      <c r="C108" s="769">
        <f>'4A SWD Case 2'!BG99</f>
        <v>562.83164126417978</v>
      </c>
      <c r="D108" s="3">
        <f>'4B Biological treatment '!T161</f>
        <v>0.79388212369670896</v>
      </c>
      <c r="E108" s="1157">
        <f>'4B Biological treatment '!U161</f>
        <v>35.724695566351897</v>
      </c>
      <c r="F108" s="1157">
        <f>'4B Biological treatment '!W161</f>
        <v>2.1434817339811141</v>
      </c>
      <c r="G108" s="952">
        <f>'4C2 Open-burning '!R134</f>
        <v>14.93472003386634</v>
      </c>
      <c r="H108" s="952">
        <f>'4C2 Open-burning '!Z134</f>
        <v>5.0250760593777697</v>
      </c>
      <c r="I108" s="952">
        <f>'4C2 Open-burning '!AH134</f>
        <v>6.9957540131701232E-2</v>
      </c>
      <c r="J108" s="987">
        <f>'4D Wastewater treatment and dis'!AV171</f>
        <v>204.52095870933701</v>
      </c>
      <c r="K108" s="770">
        <f>'4D Wastewater treatment and dis'!AW171</f>
        <v>3.2931713520456056</v>
      </c>
      <c r="L108" s="771">
        <f t="shared" si="111"/>
        <v>11819.464466547775</v>
      </c>
      <c r="M108" s="772">
        <f t="shared" si="112"/>
        <v>16.671524597630889</v>
      </c>
      <c r="N108" s="771">
        <f t="shared" si="113"/>
        <v>1414.6979444275353</v>
      </c>
      <c r="O108" s="773">
        <f t="shared" si="114"/>
        <v>142.1481547216269</v>
      </c>
      <c r="P108" s="771">
        <f t="shared" si="115"/>
        <v>5315.8232520302154</v>
      </c>
      <c r="Q108" s="519">
        <f t="shared" si="74"/>
        <v>11819.464466547775</v>
      </c>
      <c r="R108" s="521">
        <f t="shared" si="75"/>
        <v>1431.3694690251662</v>
      </c>
      <c r="S108" s="518">
        <f t="shared" si="76"/>
        <v>142.1481547216269</v>
      </c>
      <c r="T108" s="519">
        <f t="shared" si="77"/>
        <v>5315.8232520302154</v>
      </c>
      <c r="U108" s="519">
        <f t="shared" si="78"/>
        <v>18708.805342324784</v>
      </c>
    </row>
    <row r="109" spans="1:21">
      <c r="A109" s="4">
        <f>'Input data'!A130</f>
        <v>2030</v>
      </c>
      <c r="B109" s="4"/>
      <c r="C109" s="769">
        <f>'4A SWD Case 2'!BG100</f>
        <v>541.50592119282305</v>
      </c>
      <c r="D109" s="3">
        <f>'4B Biological treatment '!T162</f>
        <v>0.79807025011266552</v>
      </c>
      <c r="E109" s="1157">
        <f>'4B Biological treatment '!U162</f>
        <v>35.913161255069944</v>
      </c>
      <c r="F109" s="1157">
        <f>'4B Biological treatment '!W162</f>
        <v>2.1547896753041966</v>
      </c>
      <c r="G109" s="952">
        <f>'4C2 Open-burning '!R135</f>
        <v>13.529520713203713</v>
      </c>
      <c r="H109" s="952">
        <f>'4C2 Open-burning '!Z135</f>
        <v>4.5522695086755505</v>
      </c>
      <c r="I109" s="952">
        <f>'4C2 Open-burning '!AH135</f>
        <v>6.3375274937216314E-2</v>
      </c>
      <c r="J109" s="987">
        <f>'4D Wastewater treatment and dis'!AV172</f>
        <v>210.99183381275145</v>
      </c>
      <c r="K109" s="770">
        <f>'4D Wastewater treatment and dis'!AW172</f>
        <v>3.3255973924888065</v>
      </c>
      <c r="L109" s="771">
        <f t="shared" si="111"/>
        <v>11371.624345049284</v>
      </c>
      <c r="M109" s="772">
        <f t="shared" si="112"/>
        <v>16.759475252365977</v>
      </c>
      <c r="N109" s="771">
        <f t="shared" si="113"/>
        <v>1422.1611857007697</v>
      </c>
      <c r="O109" s="773">
        <f t="shared" si="114"/>
        <v>128.77351562592733</v>
      </c>
      <c r="P109" s="771">
        <f t="shared" si="115"/>
        <v>5461.7637017393099</v>
      </c>
      <c r="Q109" s="519">
        <f t="shared" si="74"/>
        <v>11371.624345049284</v>
      </c>
      <c r="R109" s="521">
        <f t="shared" si="75"/>
        <v>1438.9206609531357</v>
      </c>
      <c r="S109" s="518">
        <f t="shared" si="76"/>
        <v>128.77351562592733</v>
      </c>
      <c r="T109" s="519">
        <f t="shared" si="77"/>
        <v>5461.7637017393099</v>
      </c>
      <c r="U109" s="519">
        <f t="shared" si="78"/>
        <v>18401.082223367659</v>
      </c>
    </row>
    <row r="110" spans="1:21">
      <c r="A110" s="4">
        <f>'Input data'!A131</f>
        <v>2031</v>
      </c>
      <c r="B110" s="4"/>
      <c r="C110" s="769">
        <f>'4A SWD Case 2'!BG101</f>
        <v>520.8031636578994</v>
      </c>
      <c r="D110" s="3">
        <f>'4B Biological treatment '!T163</f>
        <v>0.79534766107610655</v>
      </c>
      <c r="E110" s="1157">
        <f>'4B Biological treatment '!U163</f>
        <v>35.790644748424789</v>
      </c>
      <c r="F110" s="1157">
        <f>'4B Biological treatment '!W163</f>
        <v>2.1474386849054872</v>
      </c>
      <c r="G110" s="952">
        <f>'4C2 Open-burning '!R136</f>
        <v>11.932120220532866</v>
      </c>
      <c r="H110" s="952">
        <f>'4C2 Open-burning '!Z136</f>
        <v>4.014793147903057</v>
      </c>
      <c r="I110" s="952">
        <f>'4C2 Open-burning '!AH136</f>
        <v>5.5892696836052552E-2</v>
      </c>
      <c r="J110" s="987">
        <f>'4D Wastewater treatment and dis'!AV173</f>
        <v>212.79249544373798</v>
      </c>
      <c r="K110" s="770">
        <f>'4D Wastewater treatment and dis'!AW173</f>
        <v>3.3539789441183268</v>
      </c>
      <c r="L110" s="771">
        <f t="shared" si="111"/>
        <v>10936.866436815888</v>
      </c>
      <c r="M110" s="772">
        <f t="shared" si="112"/>
        <v>16.702300882598237</v>
      </c>
      <c r="N110" s="771">
        <f t="shared" si="113"/>
        <v>1417.3095320376215</v>
      </c>
      <c r="O110" s="773">
        <f t="shared" si="114"/>
        <v>113.56951234567336</v>
      </c>
      <c r="P110" s="771">
        <f t="shared" si="115"/>
        <v>5508.3758769951792</v>
      </c>
      <c r="Q110" s="519">
        <f t="shared" si="74"/>
        <v>10936.866436815888</v>
      </c>
      <c r="R110" s="521">
        <f t="shared" si="75"/>
        <v>1434.0118329202196</v>
      </c>
      <c r="S110" s="518">
        <f t="shared" si="76"/>
        <v>113.56951234567336</v>
      </c>
      <c r="T110" s="519">
        <f t="shared" si="77"/>
        <v>5508.3758769951792</v>
      </c>
      <c r="U110" s="519">
        <f t="shared" si="78"/>
        <v>17992.823659076959</v>
      </c>
    </row>
    <row r="111" spans="1:21">
      <c r="A111" s="4">
        <f>'Input data'!A132</f>
        <v>2032</v>
      </c>
      <c r="B111" s="4"/>
      <c r="C111" s="769">
        <f>'4A SWD Case 2'!BG102</f>
        <v>500.53849143393984</v>
      </c>
      <c r="D111" s="3">
        <f>'4B Biological treatment '!T164</f>
        <v>0.80290106223682667</v>
      </c>
      <c r="E111" s="1157">
        <f>'4B Biological treatment '!U164</f>
        <v>36.130547800657197</v>
      </c>
      <c r="F111" s="1157">
        <f>'4B Biological treatment '!W164</f>
        <v>2.1678328680394321</v>
      </c>
      <c r="G111" s="952">
        <f>'4C2 Open-burning '!R137</f>
        <v>10.344645425665796</v>
      </c>
      <c r="H111" s="952">
        <f>'4C2 Open-burning '!Z137</f>
        <v>3.4806564805625984</v>
      </c>
      <c r="I111" s="952">
        <f>'4C2 Open-burning '!AH137</f>
        <v>4.8456612904238333E-2</v>
      </c>
      <c r="J111" s="987">
        <f>'4D Wastewater treatment and dis'!AV174</f>
        <v>214.60852441027842</v>
      </c>
      <c r="K111" s="770">
        <f>'4D Wastewater treatment and dis'!AW174</f>
        <v>3.3826027116200144</v>
      </c>
      <c r="L111" s="771">
        <f t="shared" si="111"/>
        <v>10511.308320112737</v>
      </c>
      <c r="M111" s="772">
        <f t="shared" si="112"/>
        <v>16.860922306973361</v>
      </c>
      <c r="N111" s="771">
        <f t="shared" si="113"/>
        <v>1430.7696929060251</v>
      </c>
      <c r="O111" s="773">
        <f t="shared" si="114"/>
        <v>98.459981517794233</v>
      </c>
      <c r="P111" s="771">
        <f t="shared" si="115"/>
        <v>5555.3858532180511</v>
      </c>
      <c r="Q111" s="519">
        <f t="shared" si="74"/>
        <v>10511.308320112737</v>
      </c>
      <c r="R111" s="521">
        <f t="shared" si="75"/>
        <v>1447.6306152129985</v>
      </c>
      <c r="S111" s="518">
        <f t="shared" si="76"/>
        <v>98.459981517794233</v>
      </c>
      <c r="T111" s="519">
        <f t="shared" si="77"/>
        <v>5555.3858532180511</v>
      </c>
      <c r="U111" s="519">
        <f t="shared" si="78"/>
        <v>17612.784770061582</v>
      </c>
    </row>
    <row r="112" spans="1:21">
      <c r="A112" s="4">
        <f>'Input data'!A133</f>
        <v>2033</v>
      </c>
      <c r="B112" s="4"/>
      <c r="C112" s="769">
        <f>'4A SWD Case 2'!BG103</f>
        <v>480.68823502740116</v>
      </c>
      <c r="D112" s="3">
        <f>'4B Biological treatment '!T165</f>
        <v>0.81020510147894631</v>
      </c>
      <c r="E112" s="1157">
        <f>'4B Biological treatment '!U165</f>
        <v>36.45922956655258</v>
      </c>
      <c r="F112" s="1157">
        <f>'4B Biological treatment '!W165</f>
        <v>2.1875537739931548</v>
      </c>
      <c r="G112" s="952">
        <f>'4C2 Open-burning '!R138</f>
        <v>10.313981067569168</v>
      </c>
      <c r="H112" s="952">
        <f>'4C2 Open-burning '!Z138</f>
        <v>3.4703388628638314</v>
      </c>
      <c r="I112" s="952">
        <f>'4C2 Open-burning '!AH138</f>
        <v>4.8312974251669485E-2</v>
      </c>
      <c r="J112" s="987">
        <f>'4D Wastewater treatment and dis'!AV175</f>
        <v>216.44005186138909</v>
      </c>
      <c r="K112" s="770">
        <f>'4D Wastewater treatment and dis'!AW175</f>
        <v>3.4114707621299263</v>
      </c>
      <c r="L112" s="771">
        <f t="shared" si="111"/>
        <v>10094.452935575424</v>
      </c>
      <c r="M112" s="772">
        <f t="shared" si="112"/>
        <v>17.014307131057873</v>
      </c>
      <c r="N112" s="771">
        <f t="shared" si="113"/>
        <v>1443.7854908354821</v>
      </c>
      <c r="O112" s="773">
        <f t="shared" si="114"/>
        <v>98.168119205727166</v>
      </c>
      <c r="P112" s="771">
        <f t="shared" si="115"/>
        <v>5602.7970253494477</v>
      </c>
      <c r="Q112" s="519">
        <f t="shared" si="74"/>
        <v>10094.452935575424</v>
      </c>
      <c r="R112" s="521">
        <f t="shared" si="75"/>
        <v>1460.7997979665399</v>
      </c>
      <c r="S112" s="518">
        <f t="shared" si="76"/>
        <v>98.168119205727166</v>
      </c>
      <c r="T112" s="519">
        <f t="shared" si="77"/>
        <v>5602.7970253494477</v>
      </c>
      <c r="U112" s="519">
        <f t="shared" si="78"/>
        <v>17256.217878097137</v>
      </c>
    </row>
    <row r="113" spans="1:21">
      <c r="A113" s="4">
        <f>'Input data'!A134</f>
        <v>2034</v>
      </c>
      <c r="B113" s="4"/>
      <c r="C113" s="769">
        <f>'4A SWD Case 2'!BG104</f>
        <v>461.81766390658242</v>
      </c>
      <c r="D113" s="3">
        <f>'4B Biological treatment '!T166</f>
        <v>0.81918682047989866</v>
      </c>
      <c r="E113" s="1157">
        <f>'4B Biological treatment '!U166</f>
        <v>36.863406921595434</v>
      </c>
      <c r="F113" s="1157">
        <f>'4B Biological treatment '!W166</f>
        <v>2.2118044152957261</v>
      </c>
      <c r="G113" s="952">
        <f>'4C2 Open-burning '!R139</f>
        <v>10.283755160967955</v>
      </c>
      <c r="H113" s="952">
        <f>'4C2 Open-burning '!Z139</f>
        <v>3.4601687706699158</v>
      </c>
      <c r="I113" s="952">
        <f>'4C2 Open-burning '!AH139</f>
        <v>4.8171389403123509E-2</v>
      </c>
      <c r="J113" s="987">
        <f>'4D Wastewater treatment and dis'!AV176</f>
        <v>218.28721006534801</v>
      </c>
      <c r="K113" s="770">
        <f>'4D Wastewater treatment and dis'!AW176</f>
        <v>3.4405851804256198</v>
      </c>
      <c r="L113" s="771">
        <f t="shared" si="111"/>
        <v>9698.1709420382304</v>
      </c>
      <c r="M113" s="772">
        <f t="shared" si="112"/>
        <v>17.202923230077872</v>
      </c>
      <c r="N113" s="771">
        <f t="shared" si="113"/>
        <v>1459.7909140951792</v>
      </c>
      <c r="O113" s="773">
        <f t="shared" si="114"/>
        <v>97.880430060004471</v>
      </c>
      <c r="P113" s="771">
        <f t="shared" si="115"/>
        <v>5650.6128173042498</v>
      </c>
      <c r="Q113" s="519">
        <f t="shared" si="74"/>
        <v>9698.1709420382304</v>
      </c>
      <c r="R113" s="521">
        <f t="shared" si="75"/>
        <v>1476.9938373252571</v>
      </c>
      <c r="S113" s="518">
        <f t="shared" si="76"/>
        <v>97.880430060004471</v>
      </c>
      <c r="T113" s="519">
        <f t="shared" si="77"/>
        <v>5650.6128173042498</v>
      </c>
      <c r="U113" s="519">
        <f t="shared" si="78"/>
        <v>16923.658026727742</v>
      </c>
    </row>
    <row r="114" spans="1:21">
      <c r="A114" s="4">
        <f>'Input data'!A135</f>
        <v>2035</v>
      </c>
      <c r="B114" s="4"/>
      <c r="C114" s="769">
        <f>'4A SWD Case 2'!BG105</f>
        <v>443.87901247113791</v>
      </c>
      <c r="D114" s="3">
        <f>'4B Biological treatment '!T167</f>
        <v>0.82680899684673204</v>
      </c>
      <c r="E114" s="1157">
        <f>'4B Biological treatment '!U167</f>
        <v>37.206404858102943</v>
      </c>
      <c r="F114" s="1157">
        <f>'4B Biological treatment '!W167</f>
        <v>2.2323842914861762</v>
      </c>
      <c r="G114" s="952">
        <f>'4C2 Open-burning '!R140</f>
        <v>10.253959437125518</v>
      </c>
      <c r="H114" s="952">
        <f>'4C2 Open-burning '!Z140</f>
        <v>3.450143421804122</v>
      </c>
      <c r="I114" s="952">
        <f>'4C2 Open-burning '!AH140</f>
        <v>4.8031819626004571E-2</v>
      </c>
      <c r="J114" s="987">
        <f>'4D Wastewater treatment and dis'!AV177</f>
        <v>220.15013241924632</v>
      </c>
      <c r="K114" s="770">
        <f>'4D Wastewater treatment and dis'!AW177</f>
        <v>3.4699480690767106</v>
      </c>
      <c r="L114" s="771">
        <f t="shared" si="111"/>
        <v>9321.4592618938968</v>
      </c>
      <c r="M114" s="772">
        <f t="shared" si="112"/>
        <v>17.362988933781374</v>
      </c>
      <c r="N114" s="771">
        <f t="shared" si="113"/>
        <v>1473.3736323808764</v>
      </c>
      <c r="O114" s="773">
        <f t="shared" si="114"/>
        <v>97.596835379073497</v>
      </c>
      <c r="P114" s="771">
        <f t="shared" si="115"/>
        <v>5698.8366822179532</v>
      </c>
      <c r="Q114" s="519">
        <f t="shared" si="74"/>
        <v>9321.4592618938968</v>
      </c>
      <c r="R114" s="521">
        <f t="shared" si="75"/>
        <v>1490.7366213146579</v>
      </c>
      <c r="S114" s="518">
        <f t="shared" si="76"/>
        <v>97.596835379073497</v>
      </c>
      <c r="T114" s="519">
        <f t="shared" si="77"/>
        <v>5698.8366822179532</v>
      </c>
      <c r="U114" s="519">
        <f t="shared" si="78"/>
        <v>16608.629400805581</v>
      </c>
    </row>
    <row r="115" spans="1:21">
      <c r="A115" s="4">
        <f>'Input data'!A136</f>
        <v>2036</v>
      </c>
      <c r="B115" s="4"/>
      <c r="C115" s="769">
        <f>'4A SWD Case 2'!BG106</f>
        <v>426.82684266897292</v>
      </c>
      <c r="D115" s="3">
        <f>'4B Biological treatment '!T168</f>
        <v>0.83438526278980896</v>
      </c>
      <c r="E115" s="1157">
        <f>'4B Biological treatment '!U168</f>
        <v>37.5473368255414</v>
      </c>
      <c r="F115" s="1157">
        <f>'4B Biological treatment '!W168</f>
        <v>2.2528402095324838</v>
      </c>
      <c r="G115" s="952">
        <f>'4C2 Open-burning '!R141</f>
        <v>10.228720631598184</v>
      </c>
      <c r="H115" s="952">
        <f>'4C2 Open-burning '!Z141</f>
        <v>3.4416513364396093</v>
      </c>
      <c r="I115" s="952">
        <f>'4C2 Open-burning '!AH141</f>
        <v>4.7913595464684461E-2</v>
      </c>
      <c r="J115" s="987">
        <f>'4D Wastewater treatment and dis'!AV178</f>
        <v>221.76188597912451</v>
      </c>
      <c r="K115" s="770">
        <f>'4D Wastewater treatment and dis'!AW178</f>
        <v>3.4953521017314642</v>
      </c>
      <c r="L115" s="771">
        <f t="shared" si="111"/>
        <v>8963.3636960484309</v>
      </c>
      <c r="M115" s="772">
        <f t="shared" si="112"/>
        <v>17.522090518585987</v>
      </c>
      <c r="N115" s="771">
        <f t="shared" si="113"/>
        <v>1486.8745382914394</v>
      </c>
      <c r="O115" s="773">
        <f t="shared" si="114"/>
        <v>97.356613290882166</v>
      </c>
      <c r="P115" s="771">
        <f t="shared" si="115"/>
        <v>5740.5587570983689</v>
      </c>
      <c r="Q115" s="519">
        <f t="shared" si="74"/>
        <v>8963.3636960484309</v>
      </c>
      <c r="R115" s="521">
        <f t="shared" si="75"/>
        <v>1504.3966288100255</v>
      </c>
      <c r="S115" s="518">
        <f t="shared" si="76"/>
        <v>97.356613290882166</v>
      </c>
      <c r="T115" s="519">
        <f t="shared" si="77"/>
        <v>5740.5587570983689</v>
      </c>
      <c r="U115" s="519">
        <f t="shared" si="78"/>
        <v>16305.675695247708</v>
      </c>
    </row>
    <row r="116" spans="1:21">
      <c r="A116" s="4">
        <f>'Input data'!A137</f>
        <v>2037</v>
      </c>
      <c r="B116" s="4"/>
      <c r="C116" s="769">
        <f>'4A SWD Case 2'!BG107</f>
        <v>410.61600572561559</v>
      </c>
      <c r="D116" s="3">
        <f>'4B Biological treatment '!T169</f>
        <v>0.84262284234872664</v>
      </c>
      <c r="E116" s="1157">
        <f>'4B Biological treatment '!U169</f>
        <v>37.918027905692696</v>
      </c>
      <c r="F116" s="1157">
        <f>'4B Biological treatment '!W169</f>
        <v>2.2750816743415618</v>
      </c>
      <c r="G116" s="952">
        <f>'4C2 Open-burning '!R142</f>
        <v>10.203787853753198</v>
      </c>
      <c r="H116" s="952">
        <f>'4C2 Open-burning '!Z142</f>
        <v>3.4332622200210539</v>
      </c>
      <c r="I116" s="952">
        <f>'4C2 Open-burning '!AH142</f>
        <v>4.7796804804884324E-2</v>
      </c>
      <c r="J116" s="987">
        <f>'4D Wastewater treatment and dis'!AV179</f>
        <v>223.38543943895829</v>
      </c>
      <c r="K116" s="770">
        <f>'4D Wastewater treatment and dis'!AW179</f>
        <v>3.5209421212835057</v>
      </c>
      <c r="L116" s="771">
        <f t="shared" si="111"/>
        <v>8622.9361202379278</v>
      </c>
      <c r="M116" s="772">
        <f t="shared" si="112"/>
        <v>17.695079689323258</v>
      </c>
      <c r="N116" s="771">
        <f t="shared" si="113"/>
        <v>1501.5539050654309</v>
      </c>
      <c r="O116" s="773">
        <f t="shared" si="114"/>
        <v>97.11930396370947</v>
      </c>
      <c r="P116" s="771">
        <f t="shared" si="115"/>
        <v>5782.5862858160108</v>
      </c>
      <c r="Q116" s="519">
        <f t="shared" si="74"/>
        <v>8622.9361202379278</v>
      </c>
      <c r="R116" s="521">
        <f t="shared" si="75"/>
        <v>1519.248984754754</v>
      </c>
      <c r="S116" s="518">
        <f t="shared" si="76"/>
        <v>97.11930396370947</v>
      </c>
      <c r="T116" s="519">
        <f t="shared" si="77"/>
        <v>5782.5862858160108</v>
      </c>
      <c r="U116" s="519">
        <f t="shared" si="78"/>
        <v>16021.890694772401</v>
      </c>
    </row>
    <row r="117" spans="1:21">
      <c r="A117" s="4">
        <f>'Input data'!A138</f>
        <v>2038</v>
      </c>
      <c r="B117" s="4"/>
      <c r="C117" s="769">
        <f>'4A SWD Case 2'!BG108</f>
        <v>395.40247945283272</v>
      </c>
      <c r="D117" s="3">
        <f>'4B Biological treatment '!T170</f>
        <v>0.85061667285410225</v>
      </c>
      <c r="E117" s="1157">
        <f>'4B Biological treatment '!U170</f>
        <v>38.277750278434596</v>
      </c>
      <c r="F117" s="1157">
        <f>'4B Biological treatment '!W170</f>
        <v>2.2966650167060756</v>
      </c>
      <c r="G117" s="952">
        <f>'4C2 Open-burning '!R143</f>
        <v>10.179156222495859</v>
      </c>
      <c r="H117" s="952">
        <f>'4C2 Open-burning '!Z143</f>
        <v>3.4249744302095286</v>
      </c>
      <c r="I117" s="952">
        <f>'4C2 Open-burning '!AH143</f>
        <v>4.7681424782474335E-2</v>
      </c>
      <c r="J117" s="987">
        <f>'4D Wastewater treatment and dis'!AV180</f>
        <v>225.02087918766139</v>
      </c>
      <c r="K117" s="770">
        <f>'4D Wastewater treatment and dis'!AW180</f>
        <v>3.5467194893720086</v>
      </c>
      <c r="L117" s="771">
        <f t="shared" si="111"/>
        <v>8303.4520685094867</v>
      </c>
      <c r="M117" s="772">
        <f t="shared" si="112"/>
        <v>17.862950129936149</v>
      </c>
      <c r="N117" s="771">
        <f t="shared" si="113"/>
        <v>1515.79891102601</v>
      </c>
      <c r="O117" s="773">
        <f t="shared" si="114"/>
        <v>96.88486093946301</v>
      </c>
      <c r="P117" s="771">
        <f t="shared" si="115"/>
        <v>5824.9215046462123</v>
      </c>
      <c r="Q117" s="519">
        <f t="shared" si="74"/>
        <v>8303.4520685094867</v>
      </c>
      <c r="R117" s="521">
        <f t="shared" si="75"/>
        <v>1533.6618611559461</v>
      </c>
      <c r="S117" s="518">
        <f t="shared" si="76"/>
        <v>96.88486093946301</v>
      </c>
      <c r="T117" s="519">
        <f t="shared" si="77"/>
        <v>5824.9215046462123</v>
      </c>
      <c r="U117" s="519">
        <f t="shared" si="78"/>
        <v>15758.920295251108</v>
      </c>
    </row>
    <row r="118" spans="1:21">
      <c r="A118" s="4">
        <f>'Input data'!A139</f>
        <v>2039</v>
      </c>
      <c r="B118" s="4"/>
      <c r="C118" s="769">
        <f>'4A SWD Case 2'!BG109</f>
        <v>381.33555410611837</v>
      </c>
      <c r="D118" s="3">
        <f>'4B Biological treatment '!T171</f>
        <v>0.85878412443604557</v>
      </c>
      <c r="E118" s="1157">
        <f>'4B Biological treatment '!U171</f>
        <v>38.645285599622042</v>
      </c>
      <c r="F118" s="1157">
        <f>'4B Biological treatment '!W171</f>
        <v>2.3187171359773227</v>
      </c>
      <c r="G118" s="952">
        <f>'4C2 Open-burning '!R144</f>
        <v>10.154820958102038</v>
      </c>
      <c r="H118" s="952">
        <f>'4C2 Open-burning '!Z144</f>
        <v>3.4167863587741936</v>
      </c>
      <c r="I118" s="952">
        <f>'4C2 Open-burning '!AH144</f>
        <v>4.7567433008166821E-2</v>
      </c>
      <c r="J118" s="987">
        <f>'4D Wastewater treatment and dis'!AV181</f>
        <v>226.66829224661399</v>
      </c>
      <c r="K118" s="770">
        <f>'4D Wastewater treatment and dis'!AW181</f>
        <v>3.5726855776049167</v>
      </c>
      <c r="L118" s="771">
        <f t="shared" si="111"/>
        <v>8008.046636228486</v>
      </c>
      <c r="M118" s="772">
        <f t="shared" si="112"/>
        <v>18.034466613156958</v>
      </c>
      <c r="N118" s="771">
        <f t="shared" si="113"/>
        <v>1530.3533097450329</v>
      </c>
      <c r="O118" s="773">
        <f t="shared" si="114"/>
        <v>96.653238724891821</v>
      </c>
      <c r="P118" s="771">
        <f t="shared" si="115"/>
        <v>5867.5666662364183</v>
      </c>
      <c r="Q118" s="519">
        <f t="shared" si="74"/>
        <v>8008.046636228486</v>
      </c>
      <c r="R118" s="521">
        <f t="shared" si="75"/>
        <v>1548.38777635819</v>
      </c>
      <c r="S118" s="518">
        <f t="shared" si="76"/>
        <v>96.653238724891821</v>
      </c>
      <c r="T118" s="519">
        <f t="shared" si="77"/>
        <v>5867.5666662364183</v>
      </c>
      <c r="U118" s="519">
        <f t="shared" si="78"/>
        <v>15520.654317547986</v>
      </c>
    </row>
    <row r="119" spans="1:21">
      <c r="A119" s="4">
        <f>'Input data'!A140</f>
        <v>2040</v>
      </c>
      <c r="B119" s="4"/>
      <c r="C119" s="769">
        <f>'4A SWD Case 2'!BG110</f>
        <v>368.36625611425666</v>
      </c>
      <c r="D119" s="3">
        <f>'4B Biological treatment '!T172</f>
        <v>0.86705467345183718</v>
      </c>
      <c r="E119" s="1157">
        <f>'4B Biological treatment '!U172</f>
        <v>39.017460305332669</v>
      </c>
      <c r="F119" s="1157">
        <f>'4B Biological treatment '!W172</f>
        <v>2.3410476183199602</v>
      </c>
      <c r="G119" s="952">
        <f>'4C2 Open-burning '!R145</f>
        <v>10.130777379596603</v>
      </c>
      <c r="H119" s="952">
        <f>'4C2 Open-burning '!Z145</f>
        <v>3.4086964307102301</v>
      </c>
      <c r="I119" s="952">
        <f>'4C2 Open-burning '!AH145</f>
        <v>4.7454807555236386E-2</v>
      </c>
      <c r="J119" s="987">
        <f>'4D Wastewater treatment and dis'!AV182</f>
        <v>228.32776627429359</v>
      </c>
      <c r="K119" s="770">
        <f>'4D Wastewater treatment and dis'!AW182</f>
        <v>3.5988417676319293</v>
      </c>
      <c r="L119" s="771">
        <f t="shared" si="111"/>
        <v>7735.6913783993896</v>
      </c>
      <c r="M119" s="772">
        <f t="shared" si="112"/>
        <v>18.208148142488582</v>
      </c>
      <c r="N119" s="771">
        <f t="shared" si="113"/>
        <v>1545.0914280911738</v>
      </c>
      <c r="O119" s="773">
        <f t="shared" si="114"/>
        <v>96.424392766634725</v>
      </c>
      <c r="P119" s="771">
        <f t="shared" si="115"/>
        <v>5910.5240397260632</v>
      </c>
      <c r="Q119" s="519">
        <f t="shared" si="74"/>
        <v>7735.6913783993896</v>
      </c>
      <c r="R119" s="521">
        <f t="shared" si="75"/>
        <v>1563.2995762336625</v>
      </c>
      <c r="S119" s="518">
        <f t="shared" si="76"/>
        <v>96.424392766634725</v>
      </c>
      <c r="T119" s="519">
        <f t="shared" si="77"/>
        <v>5910.5240397260632</v>
      </c>
      <c r="U119" s="519">
        <f t="shared" si="78"/>
        <v>15305.939387125749</v>
      </c>
    </row>
    <row r="120" spans="1:21">
      <c r="A120" s="4">
        <f>'Input data'!A141</f>
        <v>2041</v>
      </c>
      <c r="B120" s="4"/>
      <c r="C120" s="769">
        <f>'4A SWD Case 2'!BG111</f>
        <v>356.44751132599839</v>
      </c>
      <c r="D120" s="3">
        <f>'4B Biological treatment '!T173</f>
        <v>0.87618300516540526</v>
      </c>
      <c r="E120" s="1157">
        <f>'4B Biological treatment '!U173</f>
        <v>39.428235232443228</v>
      </c>
      <c r="F120" s="1157">
        <f>'4B Biological treatment '!W173</f>
        <v>2.3656941139465939</v>
      </c>
      <c r="G120" s="952">
        <f>'4C2 Open-burning '!R146</f>
        <v>10.110594115867606</v>
      </c>
      <c r="H120" s="952">
        <f>'4C2 Open-burning '!Z146</f>
        <v>3.4019053803835613</v>
      </c>
      <c r="I120" s="952">
        <f>'4C2 Open-burning '!AH146</f>
        <v>4.7360264672670904E-2</v>
      </c>
      <c r="J120" s="987">
        <f>'4D Wastewater treatment and dis'!AV183</f>
        <v>229.74589393780369</v>
      </c>
      <c r="K120" s="770">
        <f>'4D Wastewater treatment and dis'!AW183</f>
        <v>3.6211939201999317</v>
      </c>
      <c r="L120" s="771">
        <f t="shared" si="111"/>
        <v>7485.3977378459658</v>
      </c>
      <c r="M120" s="772">
        <f t="shared" si="112"/>
        <v>18.399843108473512</v>
      </c>
      <c r="N120" s="771">
        <f t="shared" si="113"/>
        <v>1561.3581152047518</v>
      </c>
      <c r="O120" s="773">
        <f t="shared" si="114"/>
        <v>96.232289152450377</v>
      </c>
      <c r="P120" s="771">
        <f t="shared" si="115"/>
        <v>5947.2338879558556</v>
      </c>
      <c r="Q120" s="519">
        <f t="shared" si="74"/>
        <v>7485.3977378459658</v>
      </c>
      <c r="R120" s="521">
        <f t="shared" si="75"/>
        <v>1579.7579583132253</v>
      </c>
      <c r="S120" s="518">
        <f t="shared" si="76"/>
        <v>96.232289152450377</v>
      </c>
      <c r="T120" s="519">
        <f t="shared" si="77"/>
        <v>5947.2338879558556</v>
      </c>
      <c r="U120" s="519">
        <f t="shared" si="78"/>
        <v>15108.621873267497</v>
      </c>
    </row>
    <row r="121" spans="1:21">
      <c r="A121" s="4">
        <f>'Input data'!A142</f>
        <v>2042</v>
      </c>
      <c r="B121" s="4"/>
      <c r="C121" s="769">
        <f>'4A SWD Case 2'!BG112</f>
        <v>345.50810914209006</v>
      </c>
      <c r="D121" s="3">
        <f>'4B Biological treatment '!T174</f>
        <v>0.88460177861967115</v>
      </c>
      <c r="E121" s="1157">
        <f>'4B Biological treatment '!U174</f>
        <v>39.8070800378852</v>
      </c>
      <c r="F121" s="1157">
        <f>'4B Biological treatment '!W174</f>
        <v>2.3884248022731116</v>
      </c>
      <c r="G121" s="952">
        <f>'4C2 Open-burning '!R147</f>
        <v>10.090614955764785</v>
      </c>
      <c r="H121" s="952">
        <f>'4C2 Open-burning '!Z147</f>
        <v>3.3951830046783922</v>
      </c>
      <c r="I121" s="952">
        <f>'4C2 Open-burning '!AH147</f>
        <v>4.7266677856746583E-2</v>
      </c>
      <c r="J121" s="987">
        <f>'4D Wastewater treatment and dis'!AV184</f>
        <v>231.17282949228024</v>
      </c>
      <c r="K121" s="770">
        <f>'4D Wastewater treatment and dis'!AW184</f>
        <v>3.6436849004121257</v>
      </c>
      <c r="L121" s="771">
        <f t="shared" si="111"/>
        <v>7255.6702919838917</v>
      </c>
      <c r="M121" s="772">
        <f t="shared" si="112"/>
        <v>18.576637351013094</v>
      </c>
      <c r="N121" s="771">
        <f t="shared" si="113"/>
        <v>1576.3603695002539</v>
      </c>
      <c r="O121" s="773">
        <f t="shared" si="114"/>
        <v>96.042128189602451</v>
      </c>
      <c r="P121" s="771">
        <f t="shared" si="115"/>
        <v>5984.171738465644</v>
      </c>
      <c r="Q121" s="519">
        <f t="shared" si="74"/>
        <v>7255.6702919838917</v>
      </c>
      <c r="R121" s="521">
        <f t="shared" si="75"/>
        <v>1594.9370068512669</v>
      </c>
      <c r="S121" s="518">
        <f t="shared" si="76"/>
        <v>96.042128189602451</v>
      </c>
      <c r="T121" s="519">
        <f t="shared" si="77"/>
        <v>5984.171738465644</v>
      </c>
      <c r="U121" s="519">
        <f t="shared" si="78"/>
        <v>14930.821165490406</v>
      </c>
    </row>
    <row r="122" spans="1:21">
      <c r="A122" s="4">
        <f>'Input data'!A143</f>
        <v>2043</v>
      </c>
      <c r="B122" s="4"/>
      <c r="C122" s="769">
        <f>'4A SWD Case 2'!BG113</f>
        <v>335.50437562232514</v>
      </c>
      <c r="D122" s="3">
        <f>'4B Biological treatment '!T175</f>
        <v>0.89303656520246277</v>
      </c>
      <c r="E122" s="1157">
        <f>'4B Biological treatment '!U175</f>
        <v>40.186645434110815</v>
      </c>
      <c r="F122" s="1157">
        <f>'4B Biological treatment '!W175</f>
        <v>2.4111987260466492</v>
      </c>
      <c r="G122" s="952">
        <f>'4C2 Open-burning '!R148</f>
        <v>10.070837196069071</v>
      </c>
      <c r="H122" s="952">
        <f>'4C2 Open-burning '!Z148</f>
        <v>3.3885283940442661</v>
      </c>
      <c r="I122" s="952">
        <f>'4C2 Open-burning '!AH148</f>
        <v>4.7174034444985899E-2</v>
      </c>
      <c r="J122" s="987">
        <f>'4D Wastewater treatment and dis'!AV185</f>
        <v>232.6086276429136</v>
      </c>
      <c r="K122" s="770">
        <f>'4D Wastewater treatment and dis'!AW185</f>
        <v>3.666315570517225</v>
      </c>
      <c r="L122" s="771">
        <f t="shared" si="111"/>
        <v>7045.5918880688278</v>
      </c>
      <c r="M122" s="772">
        <f t="shared" si="112"/>
        <v>18.753767869251718</v>
      </c>
      <c r="N122" s="771">
        <f t="shared" si="113"/>
        <v>1591.3911591907884</v>
      </c>
      <c r="O122" s="773">
        <f t="shared" si="114"/>
        <v>95.853884148944275</v>
      </c>
      <c r="P122" s="771">
        <f t="shared" si="115"/>
        <v>6021.3390073615255</v>
      </c>
      <c r="Q122" s="519">
        <f t="shared" si="74"/>
        <v>7045.5918880688278</v>
      </c>
      <c r="R122" s="521">
        <f t="shared" si="75"/>
        <v>1610.1449270600401</v>
      </c>
      <c r="S122" s="518">
        <f t="shared" si="76"/>
        <v>95.853884148944275</v>
      </c>
      <c r="T122" s="519">
        <f t="shared" si="77"/>
        <v>6021.3390073615255</v>
      </c>
      <c r="U122" s="519">
        <f t="shared" si="78"/>
        <v>14772.929706639337</v>
      </c>
    </row>
    <row r="123" spans="1:21">
      <c r="A123" s="4">
        <f>'Input data'!A144</f>
        <v>2044</v>
      </c>
      <c r="B123" s="4"/>
      <c r="C123" s="769">
        <f>'4A SWD Case 2'!BG114</f>
        <v>326.39536446600448</v>
      </c>
      <c r="D123" s="3">
        <f>'4B Biological treatment '!T176</f>
        <v>0.90165585791263203</v>
      </c>
      <c r="E123" s="1157">
        <f>'4B Biological treatment '!U176</f>
        <v>40.574513606068436</v>
      </c>
      <c r="F123" s="1157">
        <f>'4B Biological treatment '!W176</f>
        <v>2.4344708163641062</v>
      </c>
      <c r="G123" s="952">
        <f>'4C2 Open-burning '!R149</f>
        <v>10.051258180143671</v>
      </c>
      <c r="H123" s="952">
        <f>'4C2 Open-burning '!Z149</f>
        <v>3.3819406546042359</v>
      </c>
      <c r="I123" s="952">
        <f>'4C2 Open-burning '!AH149</f>
        <v>4.7082321993113047E-2</v>
      </c>
      <c r="J123" s="987">
        <f>'4D Wastewater treatment and dis'!AV186</f>
        <v>234.0533434346637</v>
      </c>
      <c r="K123" s="770">
        <f>'4D Wastewater treatment and dis'!AW186</f>
        <v>3.6890867981193103</v>
      </c>
      <c r="L123" s="771">
        <f t="shared" si="111"/>
        <v>6854.3026537860942</v>
      </c>
      <c r="M123" s="772">
        <f t="shared" si="112"/>
        <v>18.934773016165273</v>
      </c>
      <c r="N123" s="771">
        <f t="shared" si="113"/>
        <v>1606.75073880031</v>
      </c>
      <c r="O123" s="773">
        <f t="shared" si="114"/>
        <v>95.667531744697669</v>
      </c>
      <c r="P123" s="771">
        <f t="shared" si="115"/>
        <v>6058.7371195449232</v>
      </c>
      <c r="Q123" s="519">
        <f t="shared" si="74"/>
        <v>6854.3026537860942</v>
      </c>
      <c r="R123" s="521">
        <f t="shared" si="75"/>
        <v>1625.6855118164754</v>
      </c>
      <c r="S123" s="518">
        <f t="shared" si="76"/>
        <v>95.667531744697669</v>
      </c>
      <c r="T123" s="519">
        <f t="shared" si="77"/>
        <v>6058.7371195449232</v>
      </c>
      <c r="U123" s="519">
        <f t="shared" si="78"/>
        <v>14634.39281689219</v>
      </c>
    </row>
    <row r="124" spans="1:21">
      <c r="A124" s="4">
        <f>'Input data'!A145</f>
        <v>2045</v>
      </c>
      <c r="B124" s="4"/>
      <c r="C124" s="769">
        <f>'4A SWD Case 2'!BG115</f>
        <v>318.14215140913632</v>
      </c>
      <c r="D124" s="3">
        <f>'4B Biological treatment '!T177</f>
        <v>0.91052018709289761</v>
      </c>
      <c r="E124" s="1157">
        <f>'4B Biological treatment '!U177</f>
        <v>40.973408419180387</v>
      </c>
      <c r="F124" s="1157">
        <f>'4B Biological treatment '!W177</f>
        <v>2.4584045051508232</v>
      </c>
      <c r="G124" s="952">
        <f>'4C2 Open-burning '!R150</f>
        <v>10.031875296933661</v>
      </c>
      <c r="H124" s="952">
        <f>'4C2 Open-burning '!Z150</f>
        <v>3.3754189078182595</v>
      </c>
      <c r="I124" s="952">
        <f>'4C2 Open-burning '!AH150</f>
        <v>4.699152827036783E-2</v>
      </c>
      <c r="J124" s="987">
        <f>'4D Wastewater treatment and dis'!AV187</f>
        <v>235.50703225437104</v>
      </c>
      <c r="K124" s="770">
        <f>'4D Wastewater treatment and dis'!AW187</f>
        <v>3.711999456211089</v>
      </c>
      <c r="L124" s="771">
        <f t="shared" si="111"/>
        <v>6680.985179591863</v>
      </c>
      <c r="M124" s="772">
        <f t="shared" si="112"/>
        <v>19.120923928950852</v>
      </c>
      <c r="N124" s="771">
        <f t="shared" si="113"/>
        <v>1622.5469733995433</v>
      </c>
      <c r="O124" s="773">
        <f t="shared" si="114"/>
        <v>95.48304612493115</v>
      </c>
      <c r="P124" s="771">
        <f t="shared" si="115"/>
        <v>6096.3675087672291</v>
      </c>
      <c r="Q124" s="519">
        <f t="shared" si="74"/>
        <v>6680.985179591863</v>
      </c>
      <c r="R124" s="521">
        <f t="shared" si="75"/>
        <v>1641.6678973284941</v>
      </c>
      <c r="S124" s="518">
        <f t="shared" si="76"/>
        <v>95.48304612493115</v>
      </c>
      <c r="T124" s="519">
        <f t="shared" si="77"/>
        <v>6096.3675087672291</v>
      </c>
      <c r="U124" s="519">
        <f t="shared" si="78"/>
        <v>14514.503631812517</v>
      </c>
    </row>
    <row r="125" spans="1:21">
      <c r="A125" s="4">
        <f>'Input data'!A146</f>
        <v>2046</v>
      </c>
      <c r="B125" s="4"/>
      <c r="C125" s="769">
        <f>'4A SWD Case 2'!BG116</f>
        <v>310.70761686908651</v>
      </c>
      <c r="D125" s="3">
        <f>'4B Biological treatment '!T178</f>
        <v>0.92039410757635687</v>
      </c>
      <c r="E125" s="1157">
        <f>'4B Biological treatment '!U178</f>
        <v>41.417734840936056</v>
      </c>
      <c r="F125" s="1157">
        <f>'4B Biological treatment '!W178</f>
        <v>2.4850640904561638</v>
      </c>
      <c r="G125" s="952">
        <f>'4C2 Open-burning '!R151</f>
        <v>10.016080649685344</v>
      </c>
      <c r="H125" s="952">
        <f>'4C2 Open-burning '!Z151</f>
        <v>3.3701044925782111</v>
      </c>
      <c r="I125" s="952">
        <f>'4C2 Open-burning '!AH151</f>
        <v>4.6917542640490965E-2</v>
      </c>
      <c r="J125" s="987">
        <f>'4D Wastewater treatment and dis'!AV188</f>
        <v>236.70925796835201</v>
      </c>
      <c r="K125" s="770">
        <f>'4D Wastewater treatment and dis'!AW188</f>
        <v>3.7309486194433799</v>
      </c>
      <c r="L125" s="771">
        <f t="shared" si="111"/>
        <v>6524.8599542508164</v>
      </c>
      <c r="M125" s="772">
        <f t="shared" si="112"/>
        <v>19.328276259103493</v>
      </c>
      <c r="N125" s="771">
        <f t="shared" si="113"/>
        <v>1640.1422997010679</v>
      </c>
      <c r="O125" s="773">
        <f t="shared" si="114"/>
        <v>95.332713212379986</v>
      </c>
      <c r="P125" s="771">
        <f t="shared" si="115"/>
        <v>6127.4884893628396</v>
      </c>
      <c r="Q125" s="519">
        <f t="shared" si="74"/>
        <v>6524.8599542508164</v>
      </c>
      <c r="R125" s="521">
        <f t="shared" si="75"/>
        <v>1659.4705759601713</v>
      </c>
      <c r="S125" s="518">
        <f t="shared" si="76"/>
        <v>95.332713212379986</v>
      </c>
      <c r="T125" s="519">
        <f t="shared" si="77"/>
        <v>6127.4884893628396</v>
      </c>
      <c r="U125" s="519">
        <f t="shared" si="78"/>
        <v>14407.151732786206</v>
      </c>
    </row>
    <row r="126" spans="1:21">
      <c r="A126" s="4">
        <f>'Input data'!A147</f>
        <v>2047</v>
      </c>
      <c r="B126" s="4"/>
      <c r="C126" s="769">
        <f>'4A SWD Case 2'!BG117</f>
        <v>303.6987495021819</v>
      </c>
      <c r="D126" s="3">
        <f>'4B Biological treatment '!T179</f>
        <v>0.92810775328285189</v>
      </c>
      <c r="E126" s="1157">
        <f>'4B Biological treatment '!U179</f>
        <v>41.764848897728335</v>
      </c>
      <c r="F126" s="1157">
        <f>'4B Biological treatment '!W179</f>
        <v>2.5058909338637001</v>
      </c>
      <c r="G126" s="952">
        <f>'4C2 Open-burning '!R152</f>
        <v>10.000415502259907</v>
      </c>
      <c r="H126" s="952">
        <f>'4C2 Open-burning '!Z152</f>
        <v>3.3648336500638756</v>
      </c>
      <c r="I126" s="952">
        <f>'4C2 Open-burning '!AH152</f>
        <v>4.6844163616498617E-2</v>
      </c>
      <c r="J126" s="987">
        <f>'4D Wastewater treatment and dis'!AV189</f>
        <v>237.91762085222362</v>
      </c>
      <c r="K126" s="770">
        <f>'4D Wastewater treatment and dis'!AW189</f>
        <v>3.74999451512174</v>
      </c>
      <c r="L126" s="771">
        <f t="shared" si="111"/>
        <v>6377.6737395458194</v>
      </c>
      <c r="M126" s="772">
        <f t="shared" si="112"/>
        <v>19.49026281893989</v>
      </c>
      <c r="N126" s="771">
        <f t="shared" si="113"/>
        <v>1653.8880163500421</v>
      </c>
      <c r="O126" s="773">
        <f t="shared" si="114"/>
        <v>95.183612874715863</v>
      </c>
      <c r="P126" s="771">
        <f t="shared" si="115"/>
        <v>6158.7683375844354</v>
      </c>
      <c r="Q126" s="519">
        <f t="shared" ref="Q126:Q129" si="116">L126</f>
        <v>6377.6737395458194</v>
      </c>
      <c r="R126" s="521">
        <f t="shared" ref="R126:R129" si="117">M126+N126</f>
        <v>1673.3782791689821</v>
      </c>
      <c r="S126" s="518">
        <f t="shared" ref="S126:S129" si="118">O126</f>
        <v>95.183612874715863</v>
      </c>
      <c r="T126" s="519">
        <f t="shared" ref="T126:T129" si="119">P126</f>
        <v>6158.7683375844354</v>
      </c>
      <c r="U126" s="519">
        <f t="shared" ref="U126:U129" si="120">SUM(Q126:T126)</f>
        <v>14305.003969173951</v>
      </c>
    </row>
    <row r="127" spans="1:21">
      <c r="A127" s="4">
        <f>'Input data'!A148</f>
        <v>2048</v>
      </c>
      <c r="B127" s="4"/>
      <c r="C127" s="769">
        <f>'4A SWD Case 2'!BG118</f>
        <v>297.08916777635233</v>
      </c>
      <c r="D127" s="3">
        <f>'4B Biological treatment '!T180</f>
        <v>0.93601489503343793</v>
      </c>
      <c r="E127" s="1157">
        <f>'4B Biological treatment '!U180</f>
        <v>42.120670276504697</v>
      </c>
      <c r="F127" s="1157">
        <f>'4B Biological treatment '!W180</f>
        <v>2.5272402165902821</v>
      </c>
      <c r="G127" s="952">
        <f>'4C2 Open-burning '!R153</f>
        <v>9.984878469104487</v>
      </c>
      <c r="H127" s="952">
        <f>'4C2 Open-burning '!Z153</f>
        <v>3.3596059140791366</v>
      </c>
      <c r="I127" s="952">
        <f>'4C2 Open-burning '!AH153</f>
        <v>4.6771384708153965E-2</v>
      </c>
      <c r="J127" s="987">
        <f>'4D Wastewater treatment and dis'!AV190</f>
        <v>239.13215223525594</v>
      </c>
      <c r="K127" s="770">
        <f>'4D Wastewater treatment and dis'!AW190</f>
        <v>3.769137637049826</v>
      </c>
      <c r="L127" s="771">
        <f t="shared" si="111"/>
        <v>6238.8725233033992</v>
      </c>
      <c r="M127" s="772">
        <f t="shared" si="112"/>
        <v>19.656312795702195</v>
      </c>
      <c r="N127" s="771">
        <f t="shared" si="113"/>
        <v>1667.978542949586</v>
      </c>
      <c r="O127" s="773">
        <f t="shared" si="114"/>
        <v>95.035731924294083</v>
      </c>
      <c r="P127" s="771">
        <f t="shared" si="115"/>
        <v>6190.2078644258199</v>
      </c>
      <c r="Q127" s="519">
        <f t="shared" si="116"/>
        <v>6238.8725233033992</v>
      </c>
      <c r="R127" s="521">
        <f t="shared" si="117"/>
        <v>1687.6348557452882</v>
      </c>
      <c r="S127" s="518">
        <f t="shared" si="118"/>
        <v>95.035731924294083</v>
      </c>
      <c r="T127" s="519">
        <f t="shared" si="119"/>
        <v>6190.2078644258199</v>
      </c>
      <c r="U127" s="519">
        <f t="shared" si="120"/>
        <v>14211.750975398802</v>
      </c>
    </row>
    <row r="128" spans="1:21">
      <c r="A128" s="4">
        <f>'Input data'!A149</f>
        <v>2049</v>
      </c>
      <c r="B128" s="4"/>
      <c r="C128" s="769">
        <f>'4A SWD Case 2'!BG119</f>
        <v>290.85941599190903</v>
      </c>
      <c r="D128" s="3">
        <f>'4B Biological treatment '!T181</f>
        <v>0.94369175236896097</v>
      </c>
      <c r="E128" s="1157">
        <f>'4B Biological treatment '!U181</f>
        <v>42.466128856603234</v>
      </c>
      <c r="F128" s="1157">
        <f>'4B Biological treatment '!W181</f>
        <v>2.5479677313961941</v>
      </c>
      <c r="G128" s="952">
        <f>'4C2 Open-burning '!R154</f>
        <v>9.9694681839421868</v>
      </c>
      <c r="H128" s="952">
        <f>'4C2 Open-burning '!Z154</f>
        <v>3.3544208249136438</v>
      </c>
      <c r="I128" s="952">
        <f>'4C2 Open-burning '!AH154</f>
        <v>4.669919951551306E-2</v>
      </c>
      <c r="J128" s="987">
        <f>'4D Wastewater treatment and dis'!AV191</f>
        <v>240.35288360665007</v>
      </c>
      <c r="K128" s="770">
        <f>'4D Wastewater treatment and dis'!AW191</f>
        <v>3.7883784815520856</v>
      </c>
      <c r="L128" s="771">
        <f t="shared" si="111"/>
        <v>6108.0477358300896</v>
      </c>
      <c r="M128" s="772">
        <f t="shared" si="112"/>
        <v>19.81752679974818</v>
      </c>
      <c r="N128" s="771">
        <f t="shared" si="113"/>
        <v>1681.6587027214882</v>
      </c>
      <c r="O128" s="773">
        <f t="shared" si="114"/>
        <v>94.889057356937755</v>
      </c>
      <c r="P128" s="771">
        <f t="shared" si="115"/>
        <v>6221.8078850207985</v>
      </c>
      <c r="Q128" s="519">
        <f t="shared" si="116"/>
        <v>6108.0477358300896</v>
      </c>
      <c r="R128" s="521">
        <f t="shared" si="117"/>
        <v>1701.4762295212363</v>
      </c>
      <c r="S128" s="518">
        <f t="shared" si="118"/>
        <v>94.889057356937755</v>
      </c>
      <c r="T128" s="519">
        <f t="shared" si="119"/>
        <v>6221.8078850207985</v>
      </c>
      <c r="U128" s="519">
        <f t="shared" si="120"/>
        <v>14126.220907729061</v>
      </c>
    </row>
    <row r="129" spans="1:21">
      <c r="A129" s="4">
        <f>'Input data'!A150</f>
        <v>2050</v>
      </c>
      <c r="B129" s="4"/>
      <c r="C129" s="769">
        <f>'4A SWD Case 2'!BG120</f>
        <v>284.99009075603749</v>
      </c>
      <c r="D129" s="3">
        <f>'4B Biological treatment '!T182</f>
        <v>0.95159943533420632</v>
      </c>
      <c r="E129" s="1157">
        <f>'4B Biological treatment '!U182</f>
        <v>42.821974590039275</v>
      </c>
      <c r="F129" s="1157">
        <f>'4B Biological treatment '!W182</f>
        <v>2.5693184754023566</v>
      </c>
      <c r="G129" s="952">
        <f>'4C2 Open-burning '!R155</f>
        <v>9.9541832994375596</v>
      </c>
      <c r="H129" s="952">
        <f>'4C2 Open-burning '!Z155</f>
        <v>3.3492779292302703</v>
      </c>
      <c r="I129" s="952">
        <f>'4C2 Open-burning '!AH155</f>
        <v>4.6627601727357929E-2</v>
      </c>
      <c r="J129" s="987">
        <f>'4D Wastewater treatment and dis'!AV192</f>
        <v>241.57984661635467</v>
      </c>
      <c r="K129" s="770">
        <f>'4D Wastewater treatment and dis'!AW192</f>
        <v>3.8077175474866229</v>
      </c>
      <c r="L129" s="771">
        <f t="shared" si="111"/>
        <v>5984.7919058767875</v>
      </c>
      <c r="M129" s="772">
        <f t="shared" si="112"/>
        <v>19.983588142018334</v>
      </c>
      <c r="N129" s="771">
        <f t="shared" si="113"/>
        <v>1695.7501937655552</v>
      </c>
      <c r="O129" s="773">
        <f t="shared" si="114"/>
        <v>94.743576348754203</v>
      </c>
      <c r="P129" s="771">
        <f t="shared" si="115"/>
        <v>6253.5692186643009</v>
      </c>
      <c r="Q129" s="471">
        <f t="shared" si="116"/>
        <v>5984.7919058767875</v>
      </c>
      <c r="R129" s="517">
        <f t="shared" si="117"/>
        <v>1715.7337819075735</v>
      </c>
      <c r="S129" s="514">
        <f t="shared" si="118"/>
        <v>94.743576348754203</v>
      </c>
      <c r="T129" s="471">
        <f t="shared" si="119"/>
        <v>6253.5692186643009</v>
      </c>
      <c r="U129" s="471">
        <f t="shared" si="120"/>
        <v>14048.838482797415</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820.5169947820342</v>
      </c>
      <c r="D131" s="3">
        <f>'4B Biological treatment '!T184</f>
        <v>0.32115863087580998</v>
      </c>
      <c r="E131" s="1157">
        <f>'4B Biological treatment '!U184</f>
        <v>20.384176057159792</v>
      </c>
      <c r="F131" s="1157">
        <f>'4B Biological treatment '!W184</f>
        <v>1.2230505634295874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17230.856890422718</v>
      </c>
      <c r="M131" s="772">
        <f t="shared" ref="M131:M163" si="122">D131*$B$3</f>
        <v>6.7443312483920099</v>
      </c>
      <c r="N131" s="771">
        <f t="shared" ref="N131:N163" si="123">E131*$B$3+F131*$C$3</f>
        <v>807.21337186352775</v>
      </c>
      <c r="O131" s="773">
        <f t="shared" ref="O131:O163" si="124">G131+H131*$B$3+I131*$C$3</f>
        <v>313.30333811016675</v>
      </c>
      <c r="P131" s="771">
        <f t="shared" ref="P131:P163" si="125">J131*$B$3+K131*$C$3</f>
        <v>3778.1317878798554</v>
      </c>
      <c r="Q131" s="471">
        <f t="shared" ref="Q131:Q163" si="126">L131</f>
        <v>17230.856890422718</v>
      </c>
      <c r="R131" s="517">
        <f t="shared" ref="R131:R163" si="127">M131+N131</f>
        <v>813.95770311191973</v>
      </c>
      <c r="S131" s="514">
        <f t="shared" ref="S131:S163" si="128">O131</f>
        <v>313.30333811016675</v>
      </c>
      <c r="T131" s="471">
        <f t="shared" ref="T131:T163" si="129">P131</f>
        <v>3778.1317878798554</v>
      </c>
      <c r="U131" s="471">
        <f t="shared" ref="U131:U163" si="130">SUM(Q131:T131)</f>
        <v>22136.249719524658</v>
      </c>
    </row>
    <row r="132" spans="1:21">
      <c r="A132" s="4">
        <f>'Input data'!A119</f>
        <v>2019</v>
      </c>
      <c r="B132" s="4"/>
      <c r="C132" s="769">
        <f>'4A SWD Case 2'!BN89</f>
        <v>801.89995091572371</v>
      </c>
      <c r="D132" s="3">
        <f>'4B Biological treatment '!T185</f>
        <v>0.43039261674586826</v>
      </c>
      <c r="E132" s="1157">
        <f>'4B Biological treatment '!U185</f>
        <v>24.180714260811577</v>
      </c>
      <c r="F132" s="1157">
        <f>'4B Biological treatment '!W185</f>
        <v>1.4508428556486945</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16839.898969230198</v>
      </c>
      <c r="M132" s="772">
        <f t="shared" si="122"/>
        <v>9.0382449516632342</v>
      </c>
      <c r="N132" s="771">
        <f t="shared" si="123"/>
        <v>957.55628472813851</v>
      </c>
      <c r="O132" s="773">
        <f t="shared" si="124"/>
        <v>307.81392004196488</v>
      </c>
      <c r="P132" s="771">
        <f t="shared" si="125"/>
        <v>3922.0560748079342</v>
      </c>
      <c r="Q132" s="519">
        <f t="shared" si="126"/>
        <v>16839.898969230198</v>
      </c>
      <c r="R132" s="521">
        <f t="shared" si="127"/>
        <v>966.59452967980178</v>
      </c>
      <c r="S132" s="518">
        <f t="shared" si="128"/>
        <v>307.81392004196488</v>
      </c>
      <c r="T132" s="519">
        <f t="shared" si="129"/>
        <v>3922.0560748079342</v>
      </c>
      <c r="U132" s="519">
        <f t="shared" si="130"/>
        <v>22036.363493759898</v>
      </c>
    </row>
    <row r="133" spans="1:21">
      <c r="A133" s="4">
        <f>'Input data'!A120</f>
        <v>2020</v>
      </c>
      <c r="B133" s="4"/>
      <c r="C133" s="769">
        <f>'4A SWD Case 2'!BN90</f>
        <v>781.98451494371977</v>
      </c>
      <c r="D133" s="3">
        <f>'4B Biological treatment '!T186</f>
        <v>0.50089413269021521</v>
      </c>
      <c r="E133" s="1157">
        <f>'4B Biological treatment '!U186</f>
        <v>26.234291317806349</v>
      </c>
      <c r="F133" s="1157">
        <f>'4B Biological treatment '!W186</f>
        <v>1.5740574790683808</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16421.674813818114</v>
      </c>
      <c r="M133" s="772">
        <f t="shared" si="122"/>
        <v>10.51877678649452</v>
      </c>
      <c r="N133" s="771">
        <f t="shared" si="123"/>
        <v>1038.8779361851314</v>
      </c>
      <c r="O133" s="773">
        <f t="shared" si="124"/>
        <v>299.52410113774715</v>
      </c>
      <c r="P133" s="771">
        <f t="shared" si="125"/>
        <v>4069.6472808319609</v>
      </c>
      <c r="Q133" s="519">
        <f t="shared" si="126"/>
        <v>16421.674813818114</v>
      </c>
      <c r="R133" s="521">
        <f t="shared" si="127"/>
        <v>1049.3967129716259</v>
      </c>
      <c r="S133" s="518">
        <f t="shared" si="128"/>
        <v>299.52410113774715</v>
      </c>
      <c r="T133" s="519">
        <f t="shared" si="129"/>
        <v>4069.6472808319609</v>
      </c>
      <c r="U133" s="519">
        <f t="shared" si="130"/>
        <v>21840.242908759446</v>
      </c>
    </row>
    <row r="134" spans="1:21">
      <c r="A134" s="4">
        <f>'Input data'!A121</f>
        <v>2021</v>
      </c>
      <c r="B134" s="4"/>
      <c r="C134" s="769">
        <f>'4A SWD Case 2'!BN91</f>
        <v>760.99969410239532</v>
      </c>
      <c r="D134" s="3">
        <f>'4B Biological treatment '!T187</f>
        <v>0.65485060799050976</v>
      </c>
      <c r="E134" s="1157">
        <f>'4B Biological treatment '!U187</f>
        <v>31.800662708194608</v>
      </c>
      <c r="F134" s="1157">
        <f>'4B Biological treatment '!W187</f>
        <v>1.9080397624916765</v>
      </c>
      <c r="G134" s="952">
        <f>'4C2 Open-burning '!R126</f>
        <v>28.931012243244801</v>
      </c>
      <c r="H134" s="952">
        <f>'4C2 Open-burning '!Z126</f>
        <v>9.7343998861328558</v>
      </c>
      <c r="I134" s="952">
        <f>'4C2 Open-burning '!AH126</f>
        <v>0.13551927625479393</v>
      </c>
      <c r="J134" s="987">
        <f>'4D Wastewater treatment and dis'!AV163</f>
        <v>155.42542691703585</v>
      </c>
      <c r="K134" s="770">
        <f>'4D Wastewater treatment and dis'!AW163</f>
        <v>3.0248585614028385</v>
      </c>
      <c r="L134" s="771">
        <f t="shared" si="121"/>
        <v>15980.993576150302</v>
      </c>
      <c r="M134" s="772">
        <f t="shared" si="122"/>
        <v>13.751862767800706</v>
      </c>
      <c r="N134" s="771">
        <f t="shared" si="123"/>
        <v>1259.3062432445065</v>
      </c>
      <c r="O134" s="773">
        <f t="shared" si="124"/>
        <v>275.36438549102087</v>
      </c>
      <c r="P134" s="771">
        <f t="shared" si="125"/>
        <v>4201.6401192926323</v>
      </c>
      <c r="Q134" s="519">
        <f t="shared" si="126"/>
        <v>15980.993576150302</v>
      </c>
      <c r="R134" s="521">
        <f t="shared" si="127"/>
        <v>1273.0581060123072</v>
      </c>
      <c r="S134" s="518">
        <f t="shared" si="128"/>
        <v>275.36438549102087</v>
      </c>
      <c r="T134" s="519">
        <f t="shared" si="129"/>
        <v>4201.6401192926323</v>
      </c>
      <c r="U134" s="519">
        <f t="shared" si="130"/>
        <v>21731.056186946262</v>
      </c>
    </row>
    <row r="135" spans="1:21">
      <c r="A135" s="4">
        <f>'Input data'!A122</f>
        <v>2022</v>
      </c>
      <c r="B135" s="4"/>
      <c r="C135" s="769">
        <f>'4A SWD Case 2'!BN92</f>
        <v>735.15805853826225</v>
      </c>
      <c r="D135" s="3">
        <f>'4B Biological treatment '!T188</f>
        <v>0.76647999225981589</v>
      </c>
      <c r="E135" s="1157">
        <f>'4B Biological treatment '!U188</f>
        <v>34.491599651691715</v>
      </c>
      <c r="F135" s="1157">
        <f>'4B Biological treatment '!W188</f>
        <v>2.0694959791015028</v>
      </c>
      <c r="G135" s="952">
        <f>'4C2 Open-burning '!R127</f>
        <v>24.077995052126731</v>
      </c>
      <c r="H135" s="952">
        <f>'4C2 Open-burning '!Z127</f>
        <v>8.1015081782510823</v>
      </c>
      <c r="I135" s="952">
        <f>'4C2 Open-burning '!AH127</f>
        <v>0.11278666766637657</v>
      </c>
      <c r="J135" s="987">
        <f>'4D Wastewater treatment and dis'!AV164</f>
        <v>161.31571105616422</v>
      </c>
      <c r="K135" s="770">
        <f>'4D Wastewater treatment and dis'!AW164</f>
        <v>3.0596873027184164</v>
      </c>
      <c r="L135" s="771">
        <f t="shared" si="121"/>
        <v>15438.319229303508</v>
      </c>
      <c r="M135" s="772">
        <f t="shared" si="122"/>
        <v>16.096079837456134</v>
      </c>
      <c r="N135" s="771">
        <f t="shared" si="123"/>
        <v>1365.8673462069919</v>
      </c>
      <c r="O135" s="773">
        <f t="shared" si="124"/>
        <v>229.17353377197622</v>
      </c>
      <c r="P135" s="771">
        <f t="shared" si="125"/>
        <v>4336.1329960221574</v>
      </c>
      <c r="Q135" s="519">
        <f t="shared" si="126"/>
        <v>15438.319229303508</v>
      </c>
      <c r="R135" s="521">
        <f t="shared" si="127"/>
        <v>1381.9634260444479</v>
      </c>
      <c r="S135" s="518">
        <f t="shared" si="128"/>
        <v>229.17353377197622</v>
      </c>
      <c r="T135" s="519">
        <f t="shared" si="129"/>
        <v>4336.1329960221574</v>
      </c>
      <c r="U135" s="519">
        <f t="shared" si="130"/>
        <v>21385.589185142089</v>
      </c>
    </row>
    <row r="136" spans="1:21">
      <c r="A136" s="4">
        <f>'Input data'!A123</f>
        <v>2023</v>
      </c>
      <c r="B136" s="4"/>
      <c r="C136" s="769">
        <f>'4A SWD Case 2'!BN93</f>
        <v>707.55740382176486</v>
      </c>
      <c r="D136" s="3">
        <f>'4B Biological treatment '!T189</f>
        <v>0.77051512645509768</v>
      </c>
      <c r="E136" s="1157">
        <f>'4B Biological treatment '!U189</f>
        <v>34.673180690479391</v>
      </c>
      <c r="F136" s="1157">
        <f>'4B Biological treatment '!W189</f>
        <v>2.0803908414287635</v>
      </c>
      <c r="G136" s="952">
        <f>'4C2 Open-burning '!R128</f>
        <v>22.834713354191653</v>
      </c>
      <c r="H136" s="952">
        <f>'4C2 Open-burning '!Z128</f>
        <v>7.6831819504283345</v>
      </c>
      <c r="I136" s="952">
        <f>'4C2 Open-burning '!AH128</f>
        <v>0.10696286051893281</v>
      </c>
      <c r="J136" s="987">
        <f>'4D Wastewater treatment and dis'!AV165</f>
        <v>167.32103297774702</v>
      </c>
      <c r="K136" s="770">
        <f>'4D Wastewater treatment and dis'!AW165</f>
        <v>3.0949170681470224</v>
      </c>
      <c r="L136" s="771">
        <f t="shared" si="121"/>
        <v>14858.705480257062</v>
      </c>
      <c r="M136" s="772">
        <f t="shared" si="122"/>
        <v>16.18081765555705</v>
      </c>
      <c r="N136" s="771">
        <f t="shared" si="123"/>
        <v>1373.0579553429839</v>
      </c>
      <c r="O136" s="773">
        <f t="shared" si="124"/>
        <v>217.34002107405581</v>
      </c>
      <c r="P136" s="771">
        <f t="shared" si="125"/>
        <v>4473.1659836582639</v>
      </c>
      <c r="Q136" s="519">
        <f t="shared" si="126"/>
        <v>14858.705480257062</v>
      </c>
      <c r="R136" s="521">
        <f t="shared" si="127"/>
        <v>1389.238772998541</v>
      </c>
      <c r="S136" s="518">
        <f t="shared" si="128"/>
        <v>217.34002107405581</v>
      </c>
      <c r="T136" s="519">
        <f t="shared" si="129"/>
        <v>4473.1659836582639</v>
      </c>
      <c r="U136" s="519">
        <f t="shared" si="130"/>
        <v>20938.450257987919</v>
      </c>
    </row>
    <row r="137" spans="1:21">
      <c r="A137" s="4">
        <f>'Input data'!A124</f>
        <v>2024</v>
      </c>
      <c r="B137" s="4"/>
      <c r="C137" s="769">
        <f>'4A SWD Case 2'!BN94</f>
        <v>681.08118763166567</v>
      </c>
      <c r="D137" s="3">
        <f>'4B Biological treatment '!T190</f>
        <v>0.77484988637531482</v>
      </c>
      <c r="E137" s="1157">
        <f>'4B Biological treatment '!U190</f>
        <v>34.868244886889158</v>
      </c>
      <c r="F137" s="1157">
        <f>'4B Biological treatment '!W190</f>
        <v>2.0920946932133497</v>
      </c>
      <c r="G137" s="952">
        <f>'4C2 Open-burning '!R129</f>
        <v>21.570135720604139</v>
      </c>
      <c r="H137" s="952">
        <f>'4C2 Open-burning '!Z129</f>
        <v>7.2576902922415494</v>
      </c>
      <c r="I137" s="952">
        <f>'4C2 Open-burning '!AH129</f>
        <v>0.10103929848692009</v>
      </c>
      <c r="J137" s="987">
        <f>'4D Wastewater treatment and dis'!AV166</f>
        <v>173.44326090016418</v>
      </c>
      <c r="K137" s="770">
        <f>'4D Wastewater treatment and dis'!AW166</f>
        <v>3.1305524751492158</v>
      </c>
      <c r="L137" s="771">
        <f t="shared" si="121"/>
        <v>14302.704940264979</v>
      </c>
      <c r="M137" s="772">
        <f t="shared" si="122"/>
        <v>16.271847613881611</v>
      </c>
      <c r="N137" s="771">
        <f t="shared" si="123"/>
        <v>1380.7824975208109</v>
      </c>
      <c r="O137" s="773">
        <f t="shared" si="124"/>
        <v>205.3038143886219</v>
      </c>
      <c r="P137" s="771">
        <f t="shared" si="125"/>
        <v>4612.7797461997052</v>
      </c>
      <c r="Q137" s="519">
        <f t="shared" si="126"/>
        <v>14302.704940264979</v>
      </c>
      <c r="R137" s="521">
        <f t="shared" si="127"/>
        <v>1397.0543451346925</v>
      </c>
      <c r="S137" s="518">
        <f t="shared" si="128"/>
        <v>205.3038143886219</v>
      </c>
      <c r="T137" s="519">
        <f t="shared" si="129"/>
        <v>4612.7797461997052</v>
      </c>
      <c r="U137" s="519">
        <f t="shared" si="130"/>
        <v>20517.842845988001</v>
      </c>
    </row>
    <row r="138" spans="1:21">
      <c r="A138" s="4">
        <f>'Input data'!A125</f>
        <v>2025</v>
      </c>
      <c r="B138" s="4"/>
      <c r="C138" s="769">
        <f>'4A SWD Case 2'!BN95</f>
        <v>655.64849554933812</v>
      </c>
      <c r="D138" s="3">
        <f>'4B Biological treatment '!T191</f>
        <v>0.77866398518281921</v>
      </c>
      <c r="E138" s="1157">
        <f>'4B Biological treatment '!U191</f>
        <v>35.039879333226864</v>
      </c>
      <c r="F138" s="1157">
        <f>'4B Biological treatment '!W191</f>
        <v>2.1023927599936116</v>
      </c>
      <c r="G138" s="952">
        <f>'4C2 Open-burning '!R130</f>
        <v>20.283486456074918</v>
      </c>
      <c r="H138" s="952">
        <f>'4C2 Open-burning '!Z130</f>
        <v>6.8247722059740834</v>
      </c>
      <c r="I138" s="952">
        <f>'4C2 Open-burning '!AH130</f>
        <v>9.5012348041607686E-2</v>
      </c>
      <c r="J138" s="987">
        <f>'4D Wastewater treatment and dis'!AV167</f>
        <v>179.68429081250378</v>
      </c>
      <c r="K138" s="770">
        <f>'4D Wastewater treatment and dis'!AW167</f>
        <v>3.166598194351784</v>
      </c>
      <c r="L138" s="771">
        <f t="shared" si="121"/>
        <v>13768.618406536101</v>
      </c>
      <c r="M138" s="772">
        <f t="shared" si="122"/>
        <v>16.351943688839203</v>
      </c>
      <c r="N138" s="771">
        <f t="shared" si="123"/>
        <v>1387.5792215957838</v>
      </c>
      <c r="O138" s="773">
        <f t="shared" si="124"/>
        <v>193.05753067442905</v>
      </c>
      <c r="P138" s="771">
        <f t="shared" si="125"/>
        <v>4755.015547311632</v>
      </c>
      <c r="Q138" s="519">
        <f t="shared" si="126"/>
        <v>13768.618406536101</v>
      </c>
      <c r="R138" s="521">
        <f t="shared" si="127"/>
        <v>1403.9311652846229</v>
      </c>
      <c r="S138" s="518">
        <f t="shared" si="128"/>
        <v>193.05753067442905</v>
      </c>
      <c r="T138" s="519">
        <f t="shared" si="129"/>
        <v>4755.015547311632</v>
      </c>
      <c r="U138" s="519">
        <f t="shared" si="130"/>
        <v>20120.622649806784</v>
      </c>
    </row>
    <row r="139" spans="1:21">
      <c r="A139" s="4">
        <f>'Input data'!A126</f>
        <v>2026</v>
      </c>
      <c r="B139" s="4"/>
      <c r="C139" s="769">
        <f>'4A SWD Case 2'!BN96</f>
        <v>631.18188544040254</v>
      </c>
      <c r="D139" s="3">
        <f>'4B Biological treatment '!T192</f>
        <v>0.78216930196499357</v>
      </c>
      <c r="E139" s="1157">
        <f>'4B Biological treatment '!U192</f>
        <v>35.197618588424703</v>
      </c>
      <c r="F139" s="1157">
        <f>'4B Biological treatment '!W192</f>
        <v>2.1118571153054821</v>
      </c>
      <c r="G139" s="952">
        <f>'4C2 Open-burning '!R131</f>
        <v>18.985188117273655</v>
      </c>
      <c r="H139" s="952">
        <f>'4C2 Open-burning '!Z131</f>
        <v>6.3879345628548228</v>
      </c>
      <c r="I139" s="952">
        <f>'4C2 Open-burning '!AH131</f>
        <v>8.8930830749442052E-2</v>
      </c>
      <c r="J139" s="987">
        <f>'4D Wastewater treatment and dis'!AV168</f>
        <v>185.73930530907452</v>
      </c>
      <c r="K139" s="770">
        <f>'4D Wastewater treatment and dis'!AW168</f>
        <v>3.1977779387807019</v>
      </c>
      <c r="L139" s="771">
        <f t="shared" si="121"/>
        <v>13254.819594248453</v>
      </c>
      <c r="M139" s="772">
        <f t="shared" si="122"/>
        <v>16.425555341264864</v>
      </c>
      <c r="N139" s="771">
        <f t="shared" si="123"/>
        <v>1393.8256961016182</v>
      </c>
      <c r="O139" s="773">
        <f t="shared" si="124"/>
        <v>180.70037146955198</v>
      </c>
      <c r="P139" s="771">
        <f t="shared" si="125"/>
        <v>4891.8365725125823</v>
      </c>
      <c r="Q139" s="519">
        <f t="shared" si="126"/>
        <v>13254.819594248453</v>
      </c>
      <c r="R139" s="521">
        <f t="shared" si="127"/>
        <v>1410.2512514428831</v>
      </c>
      <c r="S139" s="518">
        <f t="shared" si="128"/>
        <v>180.70037146955198</v>
      </c>
      <c r="T139" s="519">
        <f t="shared" si="129"/>
        <v>4891.8365725125823</v>
      </c>
      <c r="U139" s="519">
        <f t="shared" si="130"/>
        <v>19737.607789673471</v>
      </c>
    </row>
    <row r="140" spans="1:21">
      <c r="A140" s="4">
        <f>'Input data'!A127</f>
        <v>2027</v>
      </c>
      <c r="B140" s="4"/>
      <c r="C140" s="769">
        <f>'4A SWD Case 2'!BN97</f>
        <v>607.60340968217383</v>
      </c>
      <c r="D140" s="3">
        <f>'4B Biological treatment '!T193</f>
        <v>0.78539193080655012</v>
      </c>
      <c r="E140" s="1157">
        <f>'4B Biological treatment '!U193</f>
        <v>35.342636886294748</v>
      </c>
      <c r="F140" s="1157">
        <f>'4B Biological treatment '!W193</f>
        <v>2.1205582131776852</v>
      </c>
      <c r="G140" s="952">
        <f>'4C2 Open-burning '!R132</f>
        <v>17.661577035208047</v>
      </c>
      <c r="H140" s="952">
        <f>'4C2 Open-burning '!Z132</f>
        <v>5.9425799565861794</v>
      </c>
      <c r="I140" s="952">
        <f>'4C2 Open-burning '!AH132</f>
        <v>8.2730742955201886E-2</v>
      </c>
      <c r="J140" s="987">
        <f>'4D Wastewater treatment and dis'!AV169</f>
        <v>191.89613972825521</v>
      </c>
      <c r="K140" s="770">
        <f>'4D Wastewater treatment and dis'!AW169</f>
        <v>3.2292646929415123</v>
      </c>
      <c r="L140" s="771">
        <f t="shared" si="121"/>
        <v>12759.671603325651</v>
      </c>
      <c r="M140" s="772">
        <f t="shared" si="122"/>
        <v>16.493230546937554</v>
      </c>
      <c r="N140" s="771">
        <f t="shared" si="123"/>
        <v>1399.5684206972721</v>
      </c>
      <c r="O140" s="773">
        <f t="shared" si="124"/>
        <v>168.10228643963038</v>
      </c>
      <c r="P140" s="771">
        <f t="shared" si="125"/>
        <v>5030.8909891052281</v>
      </c>
      <c r="Q140" s="519">
        <f t="shared" si="126"/>
        <v>12759.671603325651</v>
      </c>
      <c r="R140" s="521">
        <f t="shared" si="127"/>
        <v>1416.0616512442098</v>
      </c>
      <c r="S140" s="518">
        <f t="shared" si="128"/>
        <v>168.10228643963038</v>
      </c>
      <c r="T140" s="519">
        <f t="shared" si="129"/>
        <v>5030.8909891052281</v>
      </c>
      <c r="U140" s="519">
        <f t="shared" si="130"/>
        <v>19374.72653011472</v>
      </c>
    </row>
    <row r="141" spans="1:21">
      <c r="A141" s="4">
        <f>'Input data'!A128</f>
        <v>2028</v>
      </c>
      <c r="B141" s="4"/>
      <c r="C141" s="769">
        <f>'4A SWD Case 2'!BN98</f>
        <v>584.84252884471437</v>
      </c>
      <c r="D141" s="3">
        <f>'4B Biological treatment '!T194</f>
        <v>0.78912390201466587</v>
      </c>
      <c r="E141" s="1157">
        <f>'4B Biological treatment '!U194</f>
        <v>35.510575590659961</v>
      </c>
      <c r="F141" s="1157">
        <f>'4B Biological treatment '!W194</f>
        <v>2.1306345354395977</v>
      </c>
      <c r="G141" s="952">
        <f>'4C2 Open-burning '!R133</f>
        <v>16.311739327952857</v>
      </c>
      <c r="H141" s="952">
        <f>'4C2 Open-burning '!Z133</f>
        <v>5.48840089387914</v>
      </c>
      <c r="I141" s="952">
        <f>'4C2 Open-burning '!AH133</f>
        <v>7.6407803833313151E-2</v>
      </c>
      <c r="J141" s="987">
        <f>'4D Wastewater treatment and dis'!AV170</f>
        <v>198.15621215016739</v>
      </c>
      <c r="K141" s="770">
        <f>'4D Wastewater treatment and dis'!AW170</f>
        <v>3.2610614797895683</v>
      </c>
      <c r="L141" s="771">
        <f t="shared" si="121"/>
        <v>12281.693105739001</v>
      </c>
      <c r="M141" s="772">
        <f t="shared" si="122"/>
        <v>16.571601942307982</v>
      </c>
      <c r="N141" s="771">
        <f t="shared" si="123"/>
        <v>1406.2187933901346</v>
      </c>
      <c r="O141" s="773">
        <f t="shared" si="124"/>
        <v>155.25457728774188</v>
      </c>
      <c r="P141" s="771">
        <f t="shared" si="125"/>
        <v>5172.2095138882814</v>
      </c>
      <c r="Q141" s="519">
        <f t="shared" si="126"/>
        <v>12281.693105739001</v>
      </c>
      <c r="R141" s="521">
        <f t="shared" si="127"/>
        <v>1422.7903953324426</v>
      </c>
      <c r="S141" s="518">
        <f t="shared" si="128"/>
        <v>155.25457728774188</v>
      </c>
      <c r="T141" s="519">
        <f t="shared" si="129"/>
        <v>5172.2095138882814</v>
      </c>
      <c r="U141" s="519">
        <f t="shared" si="130"/>
        <v>19031.947592247467</v>
      </c>
    </row>
    <row r="142" spans="1:21">
      <c r="A142" s="4">
        <f>'Input data'!A129</f>
        <v>2029</v>
      </c>
      <c r="B142" s="4"/>
      <c r="C142" s="769">
        <f>'4A SWD Case 2'!BN99</f>
        <v>562.83164126417978</v>
      </c>
      <c r="D142" s="3">
        <f>'4B Biological treatment '!T195</f>
        <v>0.79388212369670896</v>
      </c>
      <c r="E142" s="1157">
        <f>'4B Biological treatment '!U195</f>
        <v>35.724695566351897</v>
      </c>
      <c r="F142" s="1157">
        <f>'4B Biological treatment '!W195</f>
        <v>2.1434817339811141</v>
      </c>
      <c r="G142" s="952">
        <f>'4C2 Open-burning '!R134</f>
        <v>14.93472003386634</v>
      </c>
      <c r="H142" s="952">
        <f>'4C2 Open-burning '!Z134</f>
        <v>5.0250760593777697</v>
      </c>
      <c r="I142" s="952">
        <f>'4C2 Open-burning '!AH134</f>
        <v>6.9957540131701232E-2</v>
      </c>
      <c r="J142" s="987">
        <f>'4D Wastewater treatment and dis'!AV171</f>
        <v>204.52095870933701</v>
      </c>
      <c r="K142" s="770">
        <f>'4D Wastewater treatment and dis'!AW171</f>
        <v>3.2931713520456056</v>
      </c>
      <c r="L142" s="771">
        <f t="shared" si="121"/>
        <v>11819.464466547775</v>
      </c>
      <c r="M142" s="772">
        <f t="shared" si="122"/>
        <v>16.671524597630889</v>
      </c>
      <c r="N142" s="771">
        <f t="shared" si="123"/>
        <v>1414.6979444275353</v>
      </c>
      <c r="O142" s="773">
        <f t="shared" si="124"/>
        <v>142.1481547216269</v>
      </c>
      <c r="P142" s="771">
        <f t="shared" si="125"/>
        <v>5315.8232520302154</v>
      </c>
      <c r="Q142" s="519">
        <f t="shared" si="126"/>
        <v>11819.464466547775</v>
      </c>
      <c r="R142" s="521">
        <f t="shared" si="127"/>
        <v>1431.3694690251662</v>
      </c>
      <c r="S142" s="518">
        <f t="shared" si="128"/>
        <v>142.1481547216269</v>
      </c>
      <c r="T142" s="519">
        <f t="shared" si="129"/>
        <v>5315.8232520302154</v>
      </c>
      <c r="U142" s="519">
        <f t="shared" si="130"/>
        <v>18708.805342324784</v>
      </c>
    </row>
    <row r="143" spans="1:21">
      <c r="A143" s="4">
        <f>'Input data'!A130</f>
        <v>2030</v>
      </c>
      <c r="B143" s="4"/>
      <c r="C143" s="769">
        <f>'4A SWD Case 2'!BN100</f>
        <v>541.50592119282305</v>
      </c>
      <c r="D143" s="3">
        <f>'4B Biological treatment '!T196</f>
        <v>0.79807025011266552</v>
      </c>
      <c r="E143" s="1157">
        <f>'4B Biological treatment '!U196</f>
        <v>35.913161255069944</v>
      </c>
      <c r="F143" s="1157">
        <f>'4B Biological treatment '!W196</f>
        <v>2.1547896753041966</v>
      </c>
      <c r="G143" s="952">
        <f>'4C2 Open-burning '!R135</f>
        <v>13.529520713203713</v>
      </c>
      <c r="H143" s="952">
        <f>'4C2 Open-burning '!Z135</f>
        <v>4.5522695086755505</v>
      </c>
      <c r="I143" s="952">
        <f>'4C2 Open-burning '!AH135</f>
        <v>6.3375274937216314E-2</v>
      </c>
      <c r="J143" s="987">
        <f>'4D Wastewater treatment and dis'!AV172</f>
        <v>210.99183381275145</v>
      </c>
      <c r="K143" s="770">
        <f>'4D Wastewater treatment and dis'!AW172</f>
        <v>3.3255973924888065</v>
      </c>
      <c r="L143" s="771">
        <f t="shared" si="121"/>
        <v>11371.624345049284</v>
      </c>
      <c r="M143" s="772">
        <f t="shared" si="122"/>
        <v>16.759475252365977</v>
      </c>
      <c r="N143" s="771">
        <f t="shared" si="123"/>
        <v>1422.1611857007697</v>
      </c>
      <c r="O143" s="773">
        <f t="shared" si="124"/>
        <v>128.77351562592733</v>
      </c>
      <c r="P143" s="771">
        <f t="shared" si="125"/>
        <v>5461.7637017393099</v>
      </c>
      <c r="Q143" s="519">
        <f t="shared" si="126"/>
        <v>11371.624345049284</v>
      </c>
      <c r="R143" s="521">
        <f t="shared" si="127"/>
        <v>1438.9206609531357</v>
      </c>
      <c r="S143" s="518">
        <f t="shared" si="128"/>
        <v>128.77351562592733</v>
      </c>
      <c r="T143" s="519">
        <f t="shared" si="129"/>
        <v>5461.7637017393099</v>
      </c>
      <c r="U143" s="519">
        <f t="shared" si="130"/>
        <v>18401.082223367659</v>
      </c>
    </row>
    <row r="144" spans="1:21">
      <c r="A144" s="4">
        <f>'Input data'!A131</f>
        <v>2031</v>
      </c>
      <c r="B144" s="4"/>
      <c r="C144" s="769">
        <f>'4A SWD Case 2'!BN101</f>
        <v>520.8031636578994</v>
      </c>
      <c r="D144" s="3">
        <f>'4B Biological treatment '!T197</f>
        <v>0.79534766107610655</v>
      </c>
      <c r="E144" s="1157">
        <f>'4B Biological treatment '!U197</f>
        <v>35.790644748424789</v>
      </c>
      <c r="F144" s="1157">
        <f>'4B Biological treatment '!W197</f>
        <v>2.1474386849054872</v>
      </c>
      <c r="G144" s="952">
        <f>'4C2 Open-burning '!R136</f>
        <v>11.932120220532866</v>
      </c>
      <c r="H144" s="952">
        <f>'4C2 Open-burning '!Z136</f>
        <v>4.014793147903057</v>
      </c>
      <c r="I144" s="952">
        <f>'4C2 Open-burning '!AH136</f>
        <v>5.5892696836052552E-2</v>
      </c>
      <c r="J144" s="987">
        <f>'4D Wastewater treatment and dis'!AV173</f>
        <v>212.79249544373798</v>
      </c>
      <c r="K144" s="770">
        <f>'4D Wastewater treatment and dis'!AW173</f>
        <v>3.3539789441183268</v>
      </c>
      <c r="L144" s="771">
        <f t="shared" si="121"/>
        <v>10936.866436815888</v>
      </c>
      <c r="M144" s="772">
        <f t="shared" si="122"/>
        <v>16.702300882598237</v>
      </c>
      <c r="N144" s="771">
        <f t="shared" si="123"/>
        <v>1417.3095320376215</v>
      </c>
      <c r="O144" s="773">
        <f t="shared" si="124"/>
        <v>113.56951234567336</v>
      </c>
      <c r="P144" s="771">
        <f t="shared" si="125"/>
        <v>5508.3758769951792</v>
      </c>
      <c r="Q144" s="519">
        <f t="shared" si="126"/>
        <v>10936.866436815888</v>
      </c>
      <c r="R144" s="521">
        <f t="shared" si="127"/>
        <v>1434.0118329202196</v>
      </c>
      <c r="S144" s="518">
        <f t="shared" si="128"/>
        <v>113.56951234567336</v>
      </c>
      <c r="T144" s="519">
        <f t="shared" si="129"/>
        <v>5508.3758769951792</v>
      </c>
      <c r="U144" s="519">
        <f t="shared" si="130"/>
        <v>17992.823659076959</v>
      </c>
    </row>
    <row r="145" spans="1:21">
      <c r="A145" s="4">
        <f>'Input data'!A132</f>
        <v>2032</v>
      </c>
      <c r="B145" s="4"/>
      <c r="C145" s="769">
        <f>'4A SWD Case 2'!BN102</f>
        <v>500.53849143393984</v>
      </c>
      <c r="D145" s="3">
        <f>'4B Biological treatment '!T198</f>
        <v>0.80290106223682667</v>
      </c>
      <c r="E145" s="1157">
        <f>'4B Biological treatment '!U198</f>
        <v>36.130547800657197</v>
      </c>
      <c r="F145" s="1157">
        <f>'4B Biological treatment '!W198</f>
        <v>2.1678328680394321</v>
      </c>
      <c r="G145" s="952">
        <f>'4C2 Open-burning '!R137</f>
        <v>10.344645425665796</v>
      </c>
      <c r="H145" s="952">
        <f>'4C2 Open-burning '!Z137</f>
        <v>3.4806564805625984</v>
      </c>
      <c r="I145" s="952">
        <f>'4C2 Open-burning '!AH137</f>
        <v>4.8456612904238333E-2</v>
      </c>
      <c r="J145" s="987">
        <f>'4D Wastewater treatment and dis'!AV174</f>
        <v>214.60852441027842</v>
      </c>
      <c r="K145" s="770">
        <f>'4D Wastewater treatment and dis'!AW174</f>
        <v>3.3826027116200144</v>
      </c>
      <c r="L145" s="771">
        <f t="shared" si="121"/>
        <v>10511.308320112737</v>
      </c>
      <c r="M145" s="772">
        <f t="shared" si="122"/>
        <v>16.860922306973361</v>
      </c>
      <c r="N145" s="771">
        <f t="shared" si="123"/>
        <v>1430.7696929060251</v>
      </c>
      <c r="O145" s="773">
        <f t="shared" si="124"/>
        <v>98.459981517794233</v>
      </c>
      <c r="P145" s="771">
        <f t="shared" si="125"/>
        <v>5555.3858532180511</v>
      </c>
      <c r="Q145" s="519">
        <f t="shared" si="126"/>
        <v>10511.308320112737</v>
      </c>
      <c r="R145" s="521">
        <f t="shared" si="127"/>
        <v>1447.6306152129985</v>
      </c>
      <c r="S145" s="518">
        <f t="shared" si="128"/>
        <v>98.459981517794233</v>
      </c>
      <c r="T145" s="519">
        <f t="shared" si="129"/>
        <v>5555.3858532180511</v>
      </c>
      <c r="U145" s="519">
        <f t="shared" si="130"/>
        <v>17612.784770061582</v>
      </c>
    </row>
    <row r="146" spans="1:21">
      <c r="A146" s="4">
        <f>'Input data'!A133</f>
        <v>2033</v>
      </c>
      <c r="B146" s="4"/>
      <c r="C146" s="769">
        <f>'4A SWD Case 2'!BN103</f>
        <v>480.68823502740116</v>
      </c>
      <c r="D146" s="3">
        <f>'4B Biological treatment '!T199</f>
        <v>0.81020510147894631</v>
      </c>
      <c r="E146" s="1157">
        <f>'4B Biological treatment '!U199</f>
        <v>36.45922956655258</v>
      </c>
      <c r="F146" s="1157">
        <f>'4B Biological treatment '!W199</f>
        <v>2.1875537739931548</v>
      </c>
      <c r="G146" s="952">
        <f>'4C2 Open-burning '!R138</f>
        <v>10.313981067569168</v>
      </c>
      <c r="H146" s="952">
        <f>'4C2 Open-burning '!Z138</f>
        <v>3.4703388628638314</v>
      </c>
      <c r="I146" s="952">
        <f>'4C2 Open-burning '!AH138</f>
        <v>4.8312974251669485E-2</v>
      </c>
      <c r="J146" s="987">
        <f>'4D Wastewater treatment and dis'!AV175</f>
        <v>216.44005186138909</v>
      </c>
      <c r="K146" s="770">
        <f>'4D Wastewater treatment and dis'!AW175</f>
        <v>3.4114707621299263</v>
      </c>
      <c r="L146" s="771">
        <f t="shared" si="121"/>
        <v>10094.452935575424</v>
      </c>
      <c r="M146" s="772">
        <f t="shared" si="122"/>
        <v>17.014307131057873</v>
      </c>
      <c r="N146" s="771">
        <f t="shared" si="123"/>
        <v>1443.7854908354821</v>
      </c>
      <c r="O146" s="773">
        <f t="shared" si="124"/>
        <v>98.168119205727166</v>
      </c>
      <c r="P146" s="771">
        <f t="shared" si="125"/>
        <v>5602.7970253494477</v>
      </c>
      <c r="Q146" s="519">
        <f t="shared" si="126"/>
        <v>10094.452935575424</v>
      </c>
      <c r="R146" s="521">
        <f t="shared" si="127"/>
        <v>1460.7997979665399</v>
      </c>
      <c r="S146" s="518">
        <f t="shared" si="128"/>
        <v>98.168119205727166</v>
      </c>
      <c r="T146" s="519">
        <f t="shared" si="129"/>
        <v>5602.7970253494477</v>
      </c>
      <c r="U146" s="519">
        <f t="shared" si="130"/>
        <v>17256.217878097137</v>
      </c>
    </row>
    <row r="147" spans="1:21">
      <c r="A147" s="4">
        <f>'Input data'!A134</f>
        <v>2034</v>
      </c>
      <c r="B147" s="4"/>
      <c r="C147" s="769">
        <f>'4A SWD Case 2'!BN104</f>
        <v>461.81766390658242</v>
      </c>
      <c r="D147" s="3">
        <f>'4B Biological treatment '!T200</f>
        <v>0.81918682047989866</v>
      </c>
      <c r="E147" s="1157">
        <f>'4B Biological treatment '!U200</f>
        <v>36.863406921595434</v>
      </c>
      <c r="F147" s="1157">
        <f>'4B Biological treatment '!W200</f>
        <v>2.2118044152957261</v>
      </c>
      <c r="G147" s="952">
        <f>'4C2 Open-burning '!R139</f>
        <v>10.283755160967955</v>
      </c>
      <c r="H147" s="952">
        <f>'4C2 Open-burning '!Z139</f>
        <v>3.4601687706699158</v>
      </c>
      <c r="I147" s="952">
        <f>'4C2 Open-burning '!AH139</f>
        <v>4.8171389403123509E-2</v>
      </c>
      <c r="J147" s="987">
        <f>'4D Wastewater treatment and dis'!AV176</f>
        <v>218.28721006534801</v>
      </c>
      <c r="K147" s="770">
        <f>'4D Wastewater treatment and dis'!AW176</f>
        <v>3.4405851804256198</v>
      </c>
      <c r="L147" s="771">
        <f t="shared" si="121"/>
        <v>9698.1709420382304</v>
      </c>
      <c r="M147" s="772">
        <f t="shared" si="122"/>
        <v>17.202923230077872</v>
      </c>
      <c r="N147" s="771">
        <f t="shared" si="123"/>
        <v>1459.7909140951792</v>
      </c>
      <c r="O147" s="773">
        <f t="shared" si="124"/>
        <v>97.880430060004471</v>
      </c>
      <c r="P147" s="771">
        <f t="shared" si="125"/>
        <v>5650.6128173042498</v>
      </c>
      <c r="Q147" s="519">
        <f t="shared" si="126"/>
        <v>9698.1709420382304</v>
      </c>
      <c r="R147" s="521">
        <f t="shared" si="127"/>
        <v>1476.9938373252571</v>
      </c>
      <c r="S147" s="518">
        <f t="shared" si="128"/>
        <v>97.880430060004471</v>
      </c>
      <c r="T147" s="519">
        <f t="shared" si="129"/>
        <v>5650.6128173042498</v>
      </c>
      <c r="U147" s="519">
        <f t="shared" si="130"/>
        <v>16923.658026727742</v>
      </c>
    </row>
    <row r="148" spans="1:21">
      <c r="A148" s="4">
        <f>'Input data'!A135</f>
        <v>2035</v>
      </c>
      <c r="B148" s="4"/>
      <c r="C148" s="769">
        <f>'4A SWD Case 2'!BN105</f>
        <v>443.87901247113791</v>
      </c>
      <c r="D148" s="3">
        <f>'4B Biological treatment '!T201</f>
        <v>0.82680899684673204</v>
      </c>
      <c r="E148" s="1157">
        <f>'4B Biological treatment '!U201</f>
        <v>37.206404858102943</v>
      </c>
      <c r="F148" s="1157">
        <f>'4B Biological treatment '!W201</f>
        <v>2.2323842914861762</v>
      </c>
      <c r="G148" s="952">
        <f>'4C2 Open-burning '!R140</f>
        <v>10.253959437125518</v>
      </c>
      <c r="H148" s="952">
        <f>'4C2 Open-burning '!Z140</f>
        <v>3.450143421804122</v>
      </c>
      <c r="I148" s="952">
        <f>'4C2 Open-burning '!AH140</f>
        <v>4.8031819626004571E-2</v>
      </c>
      <c r="J148" s="987">
        <f>'4D Wastewater treatment and dis'!AV177</f>
        <v>220.15013241924632</v>
      </c>
      <c r="K148" s="770">
        <f>'4D Wastewater treatment and dis'!AW177</f>
        <v>3.4699480690767106</v>
      </c>
      <c r="L148" s="771">
        <f t="shared" si="121"/>
        <v>9321.4592618938968</v>
      </c>
      <c r="M148" s="772">
        <f t="shared" si="122"/>
        <v>17.362988933781374</v>
      </c>
      <c r="N148" s="771">
        <f t="shared" si="123"/>
        <v>1473.3736323808764</v>
      </c>
      <c r="O148" s="773">
        <f t="shared" si="124"/>
        <v>97.596835379073497</v>
      </c>
      <c r="P148" s="771">
        <f t="shared" si="125"/>
        <v>5698.8366822179532</v>
      </c>
      <c r="Q148" s="519">
        <f t="shared" si="126"/>
        <v>9321.4592618938968</v>
      </c>
      <c r="R148" s="521">
        <f t="shared" si="127"/>
        <v>1490.7366213146579</v>
      </c>
      <c r="S148" s="518">
        <f t="shared" si="128"/>
        <v>97.596835379073497</v>
      </c>
      <c r="T148" s="519">
        <f t="shared" si="129"/>
        <v>5698.8366822179532</v>
      </c>
      <c r="U148" s="519">
        <f t="shared" si="130"/>
        <v>16608.629400805581</v>
      </c>
    </row>
    <row r="149" spans="1:21">
      <c r="A149" s="4">
        <f>'Input data'!A136</f>
        <v>2036</v>
      </c>
      <c r="B149" s="4"/>
      <c r="C149" s="769">
        <f>'4A SWD Case 2'!BN106</f>
        <v>426.82684266897292</v>
      </c>
      <c r="D149" s="3">
        <f>'4B Biological treatment '!T202</f>
        <v>0.83438526278980896</v>
      </c>
      <c r="E149" s="1157">
        <f>'4B Biological treatment '!U202</f>
        <v>37.5473368255414</v>
      </c>
      <c r="F149" s="1157">
        <f>'4B Biological treatment '!W202</f>
        <v>2.2528402095324838</v>
      </c>
      <c r="G149" s="952">
        <f>'4C2 Open-burning '!R141</f>
        <v>10.228720631598184</v>
      </c>
      <c r="H149" s="952">
        <f>'4C2 Open-burning '!Z141</f>
        <v>3.4416513364396093</v>
      </c>
      <c r="I149" s="952">
        <f>'4C2 Open-burning '!AH141</f>
        <v>4.7913595464684461E-2</v>
      </c>
      <c r="J149" s="987">
        <f>'4D Wastewater treatment and dis'!AV178</f>
        <v>221.76188597912451</v>
      </c>
      <c r="K149" s="770">
        <f>'4D Wastewater treatment and dis'!AW178</f>
        <v>3.4953521017314642</v>
      </c>
      <c r="L149" s="771">
        <f t="shared" si="121"/>
        <v>8963.3636960484309</v>
      </c>
      <c r="M149" s="772">
        <f t="shared" si="122"/>
        <v>17.522090518585987</v>
      </c>
      <c r="N149" s="771">
        <f t="shared" si="123"/>
        <v>1486.8745382914394</v>
      </c>
      <c r="O149" s="773">
        <f t="shared" si="124"/>
        <v>97.356613290882166</v>
      </c>
      <c r="P149" s="771">
        <f t="shared" si="125"/>
        <v>5740.5587570983689</v>
      </c>
      <c r="Q149" s="519">
        <f t="shared" si="126"/>
        <v>8963.3636960484309</v>
      </c>
      <c r="R149" s="521">
        <f t="shared" si="127"/>
        <v>1504.3966288100255</v>
      </c>
      <c r="S149" s="518">
        <f t="shared" si="128"/>
        <v>97.356613290882166</v>
      </c>
      <c r="T149" s="519">
        <f t="shared" si="129"/>
        <v>5740.5587570983689</v>
      </c>
      <c r="U149" s="519">
        <f t="shared" si="130"/>
        <v>16305.675695247708</v>
      </c>
    </row>
    <row r="150" spans="1:21">
      <c r="A150" s="4">
        <f>'Input data'!A137</f>
        <v>2037</v>
      </c>
      <c r="B150" s="4"/>
      <c r="C150" s="769">
        <f>'4A SWD Case 2'!BN107</f>
        <v>410.61600572561559</v>
      </c>
      <c r="D150" s="3">
        <f>'4B Biological treatment '!T203</f>
        <v>0.84262284234872664</v>
      </c>
      <c r="E150" s="1157">
        <f>'4B Biological treatment '!U203</f>
        <v>37.918027905692696</v>
      </c>
      <c r="F150" s="1157">
        <f>'4B Biological treatment '!W203</f>
        <v>2.2750816743415618</v>
      </c>
      <c r="G150" s="952">
        <f>'4C2 Open-burning '!R142</f>
        <v>10.203787853753198</v>
      </c>
      <c r="H150" s="952">
        <f>'4C2 Open-burning '!Z142</f>
        <v>3.4332622200210539</v>
      </c>
      <c r="I150" s="952">
        <f>'4C2 Open-burning '!AH142</f>
        <v>4.7796804804884324E-2</v>
      </c>
      <c r="J150" s="987">
        <f>'4D Wastewater treatment and dis'!AV179</f>
        <v>223.38543943895829</v>
      </c>
      <c r="K150" s="770">
        <f>'4D Wastewater treatment and dis'!AW179</f>
        <v>3.5209421212835057</v>
      </c>
      <c r="L150" s="771">
        <f t="shared" si="121"/>
        <v>8622.9361202379278</v>
      </c>
      <c r="M150" s="772">
        <f t="shared" si="122"/>
        <v>17.695079689323258</v>
      </c>
      <c r="N150" s="771">
        <f t="shared" si="123"/>
        <v>1501.5539050654309</v>
      </c>
      <c r="O150" s="773">
        <f t="shared" si="124"/>
        <v>97.11930396370947</v>
      </c>
      <c r="P150" s="771">
        <f t="shared" si="125"/>
        <v>5782.5862858160108</v>
      </c>
      <c r="Q150" s="519">
        <f t="shared" si="126"/>
        <v>8622.9361202379278</v>
      </c>
      <c r="R150" s="521">
        <f t="shared" si="127"/>
        <v>1519.248984754754</v>
      </c>
      <c r="S150" s="518">
        <f t="shared" si="128"/>
        <v>97.11930396370947</v>
      </c>
      <c r="T150" s="519">
        <f t="shared" si="129"/>
        <v>5782.5862858160108</v>
      </c>
      <c r="U150" s="519">
        <f t="shared" si="130"/>
        <v>16021.890694772401</v>
      </c>
    </row>
    <row r="151" spans="1:21">
      <c r="A151" s="4">
        <f>'Input data'!A138</f>
        <v>2038</v>
      </c>
      <c r="B151" s="4"/>
      <c r="C151" s="769">
        <f>'4A SWD Case 2'!BN108</f>
        <v>395.40247945283272</v>
      </c>
      <c r="D151" s="3">
        <f>'4B Biological treatment '!T204</f>
        <v>0.85061667285410225</v>
      </c>
      <c r="E151" s="1157">
        <f>'4B Biological treatment '!U204</f>
        <v>38.277750278434596</v>
      </c>
      <c r="F151" s="1157">
        <f>'4B Biological treatment '!W204</f>
        <v>2.2966650167060756</v>
      </c>
      <c r="G151" s="952">
        <f>'4C2 Open-burning '!R143</f>
        <v>10.179156222495859</v>
      </c>
      <c r="H151" s="952">
        <f>'4C2 Open-burning '!Z143</f>
        <v>3.4249744302095286</v>
      </c>
      <c r="I151" s="952">
        <f>'4C2 Open-burning '!AH143</f>
        <v>4.7681424782474335E-2</v>
      </c>
      <c r="J151" s="987">
        <f>'4D Wastewater treatment and dis'!AV180</f>
        <v>225.02087918766139</v>
      </c>
      <c r="K151" s="770">
        <f>'4D Wastewater treatment and dis'!AW180</f>
        <v>3.5467194893720086</v>
      </c>
      <c r="L151" s="771">
        <f t="shared" si="121"/>
        <v>8303.4520685094867</v>
      </c>
      <c r="M151" s="772">
        <f t="shared" si="122"/>
        <v>17.862950129936149</v>
      </c>
      <c r="N151" s="771">
        <f t="shared" si="123"/>
        <v>1515.79891102601</v>
      </c>
      <c r="O151" s="773">
        <f t="shared" si="124"/>
        <v>96.88486093946301</v>
      </c>
      <c r="P151" s="771">
        <f t="shared" si="125"/>
        <v>5824.9215046462123</v>
      </c>
      <c r="Q151" s="519">
        <f t="shared" si="126"/>
        <v>8303.4520685094867</v>
      </c>
      <c r="R151" s="521">
        <f t="shared" si="127"/>
        <v>1533.6618611559461</v>
      </c>
      <c r="S151" s="518">
        <f t="shared" si="128"/>
        <v>96.88486093946301</v>
      </c>
      <c r="T151" s="519">
        <f t="shared" si="129"/>
        <v>5824.9215046462123</v>
      </c>
      <c r="U151" s="519">
        <f t="shared" si="130"/>
        <v>15758.920295251108</v>
      </c>
    </row>
    <row r="152" spans="1:21">
      <c r="A152" s="4">
        <f>'Input data'!A139</f>
        <v>2039</v>
      </c>
      <c r="B152" s="4"/>
      <c r="C152" s="769">
        <f>'4A SWD Case 2'!BN109</f>
        <v>381.33555410611837</v>
      </c>
      <c r="D152" s="3">
        <f>'4B Biological treatment '!T205</f>
        <v>0.85878412443604557</v>
      </c>
      <c r="E152" s="1157">
        <f>'4B Biological treatment '!U205</f>
        <v>38.645285599622042</v>
      </c>
      <c r="F152" s="1157">
        <f>'4B Biological treatment '!W205</f>
        <v>2.3187171359773227</v>
      </c>
      <c r="G152" s="952">
        <f>'4C2 Open-burning '!R144</f>
        <v>10.154820958102038</v>
      </c>
      <c r="H152" s="952">
        <f>'4C2 Open-burning '!Z144</f>
        <v>3.4167863587741936</v>
      </c>
      <c r="I152" s="952">
        <f>'4C2 Open-burning '!AH144</f>
        <v>4.7567433008166821E-2</v>
      </c>
      <c r="J152" s="987">
        <f>'4D Wastewater treatment and dis'!AV181</f>
        <v>226.66829224661399</v>
      </c>
      <c r="K152" s="770">
        <f>'4D Wastewater treatment and dis'!AW181</f>
        <v>3.5726855776049167</v>
      </c>
      <c r="L152" s="771">
        <f t="shared" si="121"/>
        <v>8008.046636228486</v>
      </c>
      <c r="M152" s="772">
        <f t="shared" si="122"/>
        <v>18.034466613156958</v>
      </c>
      <c r="N152" s="771">
        <f t="shared" si="123"/>
        <v>1530.3533097450329</v>
      </c>
      <c r="O152" s="773">
        <f t="shared" si="124"/>
        <v>96.653238724891821</v>
      </c>
      <c r="P152" s="771">
        <f t="shared" si="125"/>
        <v>5867.5666662364183</v>
      </c>
      <c r="Q152" s="519">
        <f t="shared" si="126"/>
        <v>8008.046636228486</v>
      </c>
      <c r="R152" s="521">
        <f t="shared" si="127"/>
        <v>1548.38777635819</v>
      </c>
      <c r="S152" s="518">
        <f t="shared" si="128"/>
        <v>96.653238724891821</v>
      </c>
      <c r="T152" s="519">
        <f t="shared" si="129"/>
        <v>5867.5666662364183</v>
      </c>
      <c r="U152" s="519">
        <f t="shared" si="130"/>
        <v>15520.654317547986</v>
      </c>
    </row>
    <row r="153" spans="1:21">
      <c r="A153" s="4">
        <f>'Input data'!A140</f>
        <v>2040</v>
      </c>
      <c r="B153" s="4"/>
      <c r="C153" s="769">
        <f>'4A SWD Case 2'!BN110</f>
        <v>368.36625611425666</v>
      </c>
      <c r="D153" s="3">
        <f>'4B Biological treatment '!T206</f>
        <v>0.86705467345183718</v>
      </c>
      <c r="E153" s="1157">
        <f>'4B Biological treatment '!U206</f>
        <v>39.017460305332669</v>
      </c>
      <c r="F153" s="1157">
        <f>'4B Biological treatment '!W206</f>
        <v>2.3410476183199602</v>
      </c>
      <c r="G153" s="952">
        <f>'4C2 Open-burning '!R145</f>
        <v>10.130777379596603</v>
      </c>
      <c r="H153" s="952">
        <f>'4C2 Open-burning '!Z145</f>
        <v>3.4086964307102301</v>
      </c>
      <c r="I153" s="952">
        <f>'4C2 Open-burning '!AH145</f>
        <v>4.7454807555236386E-2</v>
      </c>
      <c r="J153" s="987">
        <f>'4D Wastewater treatment and dis'!AV182</f>
        <v>228.32776627429359</v>
      </c>
      <c r="K153" s="770">
        <f>'4D Wastewater treatment and dis'!AW182</f>
        <v>3.5988417676319293</v>
      </c>
      <c r="L153" s="771">
        <f t="shared" si="121"/>
        <v>7735.6913783993896</v>
      </c>
      <c r="M153" s="772">
        <f t="shared" si="122"/>
        <v>18.208148142488582</v>
      </c>
      <c r="N153" s="771">
        <f t="shared" si="123"/>
        <v>1545.0914280911738</v>
      </c>
      <c r="O153" s="773">
        <f t="shared" si="124"/>
        <v>96.424392766634725</v>
      </c>
      <c r="P153" s="771">
        <f t="shared" si="125"/>
        <v>5910.5240397260632</v>
      </c>
      <c r="Q153" s="519">
        <f t="shared" si="126"/>
        <v>7735.6913783993896</v>
      </c>
      <c r="R153" s="521">
        <f t="shared" si="127"/>
        <v>1563.2995762336625</v>
      </c>
      <c r="S153" s="518">
        <f t="shared" si="128"/>
        <v>96.424392766634725</v>
      </c>
      <c r="T153" s="519">
        <f t="shared" si="129"/>
        <v>5910.5240397260632</v>
      </c>
      <c r="U153" s="519">
        <f t="shared" si="130"/>
        <v>15305.939387125749</v>
      </c>
    </row>
    <row r="154" spans="1:21">
      <c r="A154" s="4">
        <f>'Input data'!A141</f>
        <v>2041</v>
      </c>
      <c r="B154" s="4"/>
      <c r="C154" s="769">
        <f>'4A SWD Case 2'!BN111</f>
        <v>356.44751132599839</v>
      </c>
      <c r="D154" s="3">
        <f>'4B Biological treatment '!T207</f>
        <v>0.87618300516540526</v>
      </c>
      <c r="E154" s="1157">
        <f>'4B Biological treatment '!U207</f>
        <v>39.428235232443228</v>
      </c>
      <c r="F154" s="1157">
        <f>'4B Biological treatment '!W207</f>
        <v>2.3656941139465939</v>
      </c>
      <c r="G154" s="952">
        <f>'4C2 Open-burning '!R146</f>
        <v>10.110594115867606</v>
      </c>
      <c r="H154" s="952">
        <f>'4C2 Open-burning '!Z146</f>
        <v>3.4019053803835613</v>
      </c>
      <c r="I154" s="952">
        <f>'4C2 Open-burning '!AH146</f>
        <v>4.7360264672670904E-2</v>
      </c>
      <c r="J154" s="987">
        <f>'4D Wastewater treatment and dis'!AV183</f>
        <v>229.74589393780369</v>
      </c>
      <c r="K154" s="770">
        <f>'4D Wastewater treatment and dis'!AW183</f>
        <v>3.6211939201999317</v>
      </c>
      <c r="L154" s="771">
        <f t="shared" si="121"/>
        <v>7485.3977378459658</v>
      </c>
      <c r="M154" s="772">
        <f t="shared" si="122"/>
        <v>18.399843108473512</v>
      </c>
      <c r="N154" s="771">
        <f t="shared" si="123"/>
        <v>1561.3581152047518</v>
      </c>
      <c r="O154" s="773">
        <f t="shared" si="124"/>
        <v>96.232289152450377</v>
      </c>
      <c r="P154" s="771">
        <f t="shared" si="125"/>
        <v>5947.2338879558556</v>
      </c>
      <c r="Q154" s="519">
        <f t="shared" si="126"/>
        <v>7485.3977378459658</v>
      </c>
      <c r="R154" s="521">
        <f t="shared" si="127"/>
        <v>1579.7579583132253</v>
      </c>
      <c r="S154" s="518">
        <f t="shared" si="128"/>
        <v>96.232289152450377</v>
      </c>
      <c r="T154" s="519">
        <f t="shared" si="129"/>
        <v>5947.2338879558556</v>
      </c>
      <c r="U154" s="519">
        <f t="shared" si="130"/>
        <v>15108.621873267497</v>
      </c>
    </row>
    <row r="155" spans="1:21">
      <c r="A155" s="4">
        <f>'Input data'!A142</f>
        <v>2042</v>
      </c>
      <c r="B155" s="4"/>
      <c r="C155" s="769">
        <f>'4A SWD Case 2'!BN112</f>
        <v>345.50810914209006</v>
      </c>
      <c r="D155" s="3">
        <f>'4B Biological treatment '!T208</f>
        <v>0.88460177861967115</v>
      </c>
      <c r="E155" s="1157">
        <f>'4B Biological treatment '!U208</f>
        <v>39.8070800378852</v>
      </c>
      <c r="F155" s="1157">
        <f>'4B Biological treatment '!W208</f>
        <v>2.3884248022731116</v>
      </c>
      <c r="G155" s="952">
        <f>'4C2 Open-burning '!R147</f>
        <v>10.090614955764785</v>
      </c>
      <c r="H155" s="952">
        <f>'4C2 Open-burning '!Z147</f>
        <v>3.3951830046783922</v>
      </c>
      <c r="I155" s="952">
        <f>'4C2 Open-burning '!AH147</f>
        <v>4.7266677856746583E-2</v>
      </c>
      <c r="J155" s="987">
        <f>'4D Wastewater treatment and dis'!AV184</f>
        <v>231.17282949228024</v>
      </c>
      <c r="K155" s="770">
        <f>'4D Wastewater treatment and dis'!AW184</f>
        <v>3.6436849004121257</v>
      </c>
      <c r="L155" s="771">
        <f t="shared" si="121"/>
        <v>7255.6702919838917</v>
      </c>
      <c r="M155" s="772">
        <f t="shared" si="122"/>
        <v>18.576637351013094</v>
      </c>
      <c r="N155" s="771">
        <f t="shared" si="123"/>
        <v>1576.3603695002539</v>
      </c>
      <c r="O155" s="773">
        <f t="shared" si="124"/>
        <v>96.042128189602451</v>
      </c>
      <c r="P155" s="771">
        <f t="shared" si="125"/>
        <v>5984.171738465644</v>
      </c>
      <c r="Q155" s="519">
        <f t="shared" si="126"/>
        <v>7255.6702919838917</v>
      </c>
      <c r="R155" s="521">
        <f t="shared" si="127"/>
        <v>1594.9370068512669</v>
      </c>
      <c r="S155" s="518">
        <f t="shared" si="128"/>
        <v>96.042128189602451</v>
      </c>
      <c r="T155" s="519">
        <f t="shared" si="129"/>
        <v>5984.171738465644</v>
      </c>
      <c r="U155" s="519">
        <f t="shared" si="130"/>
        <v>14930.821165490406</v>
      </c>
    </row>
    <row r="156" spans="1:21">
      <c r="A156" s="4">
        <f>'Input data'!A143</f>
        <v>2043</v>
      </c>
      <c r="B156" s="4"/>
      <c r="C156" s="769">
        <f>'4A SWD Case 2'!BN113</f>
        <v>335.50437562232514</v>
      </c>
      <c r="D156" s="3">
        <f>'4B Biological treatment '!T209</f>
        <v>0.89303656520246277</v>
      </c>
      <c r="E156" s="1157">
        <f>'4B Biological treatment '!U209</f>
        <v>40.186645434110815</v>
      </c>
      <c r="F156" s="1157">
        <f>'4B Biological treatment '!W209</f>
        <v>2.4111987260466492</v>
      </c>
      <c r="G156" s="952">
        <f>'4C2 Open-burning '!R148</f>
        <v>10.070837196069071</v>
      </c>
      <c r="H156" s="952">
        <f>'4C2 Open-burning '!Z148</f>
        <v>3.3885283940442661</v>
      </c>
      <c r="I156" s="952">
        <f>'4C2 Open-burning '!AH148</f>
        <v>4.7174034444985899E-2</v>
      </c>
      <c r="J156" s="987">
        <f>'4D Wastewater treatment and dis'!AV185</f>
        <v>232.6086276429136</v>
      </c>
      <c r="K156" s="770">
        <f>'4D Wastewater treatment and dis'!AW185</f>
        <v>3.666315570517225</v>
      </c>
      <c r="L156" s="771">
        <f t="shared" si="121"/>
        <v>7045.5918880688278</v>
      </c>
      <c r="M156" s="772">
        <f t="shared" si="122"/>
        <v>18.753767869251718</v>
      </c>
      <c r="N156" s="771">
        <f t="shared" si="123"/>
        <v>1591.3911591907884</v>
      </c>
      <c r="O156" s="773">
        <f t="shared" si="124"/>
        <v>95.853884148944275</v>
      </c>
      <c r="P156" s="771">
        <f t="shared" si="125"/>
        <v>6021.3390073615255</v>
      </c>
      <c r="Q156" s="519">
        <f t="shared" si="126"/>
        <v>7045.5918880688278</v>
      </c>
      <c r="R156" s="521">
        <f t="shared" si="127"/>
        <v>1610.1449270600401</v>
      </c>
      <c r="S156" s="518">
        <f t="shared" si="128"/>
        <v>95.853884148944275</v>
      </c>
      <c r="T156" s="519">
        <f t="shared" si="129"/>
        <v>6021.3390073615255</v>
      </c>
      <c r="U156" s="519">
        <f t="shared" si="130"/>
        <v>14772.929706639337</v>
      </c>
    </row>
    <row r="157" spans="1:21">
      <c r="A157" s="4">
        <f>'Input data'!A144</f>
        <v>2044</v>
      </c>
      <c r="B157" s="4"/>
      <c r="C157" s="769">
        <f>'4A SWD Case 2'!BN114</f>
        <v>326.39536446600448</v>
      </c>
      <c r="D157" s="3">
        <f>'4B Biological treatment '!T210</f>
        <v>0.90165585791263203</v>
      </c>
      <c r="E157" s="1157">
        <f>'4B Biological treatment '!U210</f>
        <v>40.574513606068436</v>
      </c>
      <c r="F157" s="1157">
        <f>'4B Biological treatment '!W210</f>
        <v>2.4344708163641062</v>
      </c>
      <c r="G157" s="952">
        <f>'4C2 Open-burning '!R149</f>
        <v>10.051258180143671</v>
      </c>
      <c r="H157" s="952">
        <f>'4C2 Open-burning '!Z149</f>
        <v>3.3819406546042359</v>
      </c>
      <c r="I157" s="952">
        <f>'4C2 Open-burning '!AH149</f>
        <v>4.7082321993113047E-2</v>
      </c>
      <c r="J157" s="987">
        <f>'4D Wastewater treatment and dis'!AV186</f>
        <v>234.0533434346637</v>
      </c>
      <c r="K157" s="770">
        <f>'4D Wastewater treatment and dis'!AW186</f>
        <v>3.6890867981193103</v>
      </c>
      <c r="L157" s="771">
        <f t="shared" si="121"/>
        <v>6854.3026537860942</v>
      </c>
      <c r="M157" s="772">
        <f t="shared" si="122"/>
        <v>18.934773016165273</v>
      </c>
      <c r="N157" s="771">
        <f t="shared" si="123"/>
        <v>1606.75073880031</v>
      </c>
      <c r="O157" s="773">
        <f t="shared" si="124"/>
        <v>95.667531744697669</v>
      </c>
      <c r="P157" s="771">
        <f t="shared" si="125"/>
        <v>6058.7371195449232</v>
      </c>
      <c r="Q157" s="519">
        <f t="shared" si="126"/>
        <v>6854.3026537860942</v>
      </c>
      <c r="R157" s="521">
        <f t="shared" si="127"/>
        <v>1625.6855118164754</v>
      </c>
      <c r="S157" s="518">
        <f t="shared" si="128"/>
        <v>95.667531744697669</v>
      </c>
      <c r="T157" s="519">
        <f t="shared" si="129"/>
        <v>6058.7371195449232</v>
      </c>
      <c r="U157" s="519">
        <f t="shared" si="130"/>
        <v>14634.39281689219</v>
      </c>
    </row>
    <row r="158" spans="1:21">
      <c r="A158" s="4">
        <f>'Input data'!A145</f>
        <v>2045</v>
      </c>
      <c r="B158" s="4"/>
      <c r="C158" s="769">
        <f>'4A SWD Case 2'!BN115</f>
        <v>318.14215140913632</v>
      </c>
      <c r="D158" s="3">
        <f>'4B Biological treatment '!T211</f>
        <v>0.91052018709289761</v>
      </c>
      <c r="E158" s="1157">
        <f>'4B Biological treatment '!U211</f>
        <v>40.973408419180387</v>
      </c>
      <c r="F158" s="1157">
        <f>'4B Biological treatment '!W211</f>
        <v>2.4584045051508232</v>
      </c>
      <c r="G158" s="952">
        <f>'4C2 Open-burning '!R150</f>
        <v>10.031875296933661</v>
      </c>
      <c r="H158" s="952">
        <f>'4C2 Open-burning '!Z150</f>
        <v>3.3754189078182595</v>
      </c>
      <c r="I158" s="952">
        <f>'4C2 Open-burning '!AH150</f>
        <v>4.699152827036783E-2</v>
      </c>
      <c r="J158" s="987">
        <f>'4D Wastewater treatment and dis'!AV187</f>
        <v>235.50703225437104</v>
      </c>
      <c r="K158" s="770">
        <f>'4D Wastewater treatment and dis'!AW187</f>
        <v>3.711999456211089</v>
      </c>
      <c r="L158" s="771">
        <f t="shared" si="121"/>
        <v>6680.985179591863</v>
      </c>
      <c r="M158" s="772">
        <f t="shared" si="122"/>
        <v>19.120923928950852</v>
      </c>
      <c r="N158" s="771">
        <f t="shared" si="123"/>
        <v>1622.5469733995433</v>
      </c>
      <c r="O158" s="773">
        <f t="shared" si="124"/>
        <v>95.48304612493115</v>
      </c>
      <c r="P158" s="771">
        <f t="shared" si="125"/>
        <v>6096.3675087672291</v>
      </c>
      <c r="Q158" s="519">
        <f t="shared" si="126"/>
        <v>6680.985179591863</v>
      </c>
      <c r="R158" s="521">
        <f t="shared" si="127"/>
        <v>1641.6678973284941</v>
      </c>
      <c r="S158" s="518">
        <f t="shared" si="128"/>
        <v>95.48304612493115</v>
      </c>
      <c r="T158" s="519">
        <f t="shared" si="129"/>
        <v>6096.3675087672291</v>
      </c>
      <c r="U158" s="519">
        <f t="shared" si="130"/>
        <v>14514.503631812517</v>
      </c>
    </row>
    <row r="159" spans="1:21">
      <c r="A159" s="4">
        <f>'Input data'!A146</f>
        <v>2046</v>
      </c>
      <c r="B159" s="4"/>
      <c r="C159" s="769">
        <f>'4A SWD Case 2'!BN116</f>
        <v>310.70761686908651</v>
      </c>
      <c r="D159" s="3">
        <f>'4B Biological treatment '!T212</f>
        <v>0.92039410757635687</v>
      </c>
      <c r="E159" s="1157">
        <f>'4B Biological treatment '!U212</f>
        <v>41.417734840936056</v>
      </c>
      <c r="F159" s="1157">
        <f>'4B Biological treatment '!W212</f>
        <v>2.4850640904561638</v>
      </c>
      <c r="G159" s="952">
        <f>'4C2 Open-burning '!R151</f>
        <v>10.016080649685344</v>
      </c>
      <c r="H159" s="952">
        <f>'4C2 Open-burning '!Z151</f>
        <v>3.3701044925782111</v>
      </c>
      <c r="I159" s="952">
        <f>'4C2 Open-burning '!AH151</f>
        <v>4.6917542640490965E-2</v>
      </c>
      <c r="J159" s="987">
        <f>'4D Wastewater treatment and dis'!AV188</f>
        <v>236.70925796835201</v>
      </c>
      <c r="K159" s="770">
        <f>'4D Wastewater treatment and dis'!AW188</f>
        <v>3.7309486194433799</v>
      </c>
      <c r="L159" s="771">
        <f t="shared" si="121"/>
        <v>6524.8599542508164</v>
      </c>
      <c r="M159" s="772">
        <f t="shared" si="122"/>
        <v>19.328276259103493</v>
      </c>
      <c r="N159" s="771">
        <f t="shared" si="123"/>
        <v>1640.1422997010679</v>
      </c>
      <c r="O159" s="773">
        <f t="shared" si="124"/>
        <v>95.332713212379986</v>
      </c>
      <c r="P159" s="771">
        <f t="shared" si="125"/>
        <v>6127.4884893628396</v>
      </c>
      <c r="Q159" s="519">
        <f t="shared" si="126"/>
        <v>6524.8599542508164</v>
      </c>
      <c r="R159" s="521">
        <f t="shared" si="127"/>
        <v>1659.4705759601713</v>
      </c>
      <c r="S159" s="518">
        <f t="shared" si="128"/>
        <v>95.332713212379986</v>
      </c>
      <c r="T159" s="519">
        <f t="shared" si="129"/>
        <v>6127.4884893628396</v>
      </c>
      <c r="U159" s="519">
        <f t="shared" si="130"/>
        <v>14407.151732786206</v>
      </c>
    </row>
    <row r="160" spans="1:21">
      <c r="A160" s="4">
        <f>'Input data'!A147</f>
        <v>2047</v>
      </c>
      <c r="B160" s="4"/>
      <c r="C160" s="769">
        <f>'4A SWD Case 2'!BN117</f>
        <v>303.6987495021819</v>
      </c>
      <c r="D160" s="3">
        <f>'4B Biological treatment '!T213</f>
        <v>0.92810775328285189</v>
      </c>
      <c r="E160" s="1157">
        <f>'4B Biological treatment '!U213</f>
        <v>41.764848897728335</v>
      </c>
      <c r="F160" s="1157">
        <f>'4B Biological treatment '!W213</f>
        <v>2.5058909338637001</v>
      </c>
      <c r="G160" s="952">
        <f>'4C2 Open-burning '!R152</f>
        <v>10.000415502259907</v>
      </c>
      <c r="H160" s="952">
        <f>'4C2 Open-burning '!Z152</f>
        <v>3.3648336500638756</v>
      </c>
      <c r="I160" s="952">
        <f>'4C2 Open-burning '!AH152</f>
        <v>4.6844163616498617E-2</v>
      </c>
      <c r="J160" s="987">
        <f>'4D Wastewater treatment and dis'!AV189</f>
        <v>237.91762085222362</v>
      </c>
      <c r="K160" s="770">
        <f>'4D Wastewater treatment and dis'!AW189</f>
        <v>3.74999451512174</v>
      </c>
      <c r="L160" s="771">
        <f t="shared" si="121"/>
        <v>6377.6737395458194</v>
      </c>
      <c r="M160" s="772">
        <f t="shared" si="122"/>
        <v>19.49026281893989</v>
      </c>
      <c r="N160" s="771">
        <f t="shared" si="123"/>
        <v>1653.8880163500421</v>
      </c>
      <c r="O160" s="773">
        <f t="shared" si="124"/>
        <v>95.183612874715863</v>
      </c>
      <c r="P160" s="771">
        <f t="shared" si="125"/>
        <v>6158.7683375844354</v>
      </c>
      <c r="Q160" s="519">
        <f t="shared" si="126"/>
        <v>6377.6737395458194</v>
      </c>
      <c r="R160" s="521">
        <f t="shared" si="127"/>
        <v>1673.3782791689821</v>
      </c>
      <c r="S160" s="518">
        <f t="shared" si="128"/>
        <v>95.183612874715863</v>
      </c>
      <c r="T160" s="519">
        <f t="shared" si="129"/>
        <v>6158.7683375844354</v>
      </c>
      <c r="U160" s="519">
        <f t="shared" si="130"/>
        <v>14305.003969173951</v>
      </c>
    </row>
    <row r="161" spans="1:21">
      <c r="A161" s="4">
        <f>'Input data'!A148</f>
        <v>2048</v>
      </c>
      <c r="B161" s="4"/>
      <c r="C161" s="769">
        <f>'4A SWD Case 2'!BN118</f>
        <v>297.08916777635233</v>
      </c>
      <c r="D161" s="3">
        <f>'4B Biological treatment '!T214</f>
        <v>0.93601489503343793</v>
      </c>
      <c r="E161" s="1157">
        <f>'4B Biological treatment '!U214</f>
        <v>42.120670276504697</v>
      </c>
      <c r="F161" s="1157">
        <f>'4B Biological treatment '!W214</f>
        <v>2.5272402165902821</v>
      </c>
      <c r="G161" s="952">
        <f>'4C2 Open-burning '!R153</f>
        <v>9.984878469104487</v>
      </c>
      <c r="H161" s="952">
        <f>'4C2 Open-burning '!Z153</f>
        <v>3.3596059140791366</v>
      </c>
      <c r="I161" s="952">
        <f>'4C2 Open-burning '!AH153</f>
        <v>4.6771384708153965E-2</v>
      </c>
      <c r="J161" s="987">
        <f>'4D Wastewater treatment and dis'!AV190</f>
        <v>239.13215223525594</v>
      </c>
      <c r="K161" s="770">
        <f>'4D Wastewater treatment and dis'!AW190</f>
        <v>3.769137637049826</v>
      </c>
      <c r="L161" s="771">
        <f t="shared" si="121"/>
        <v>6238.8725233033992</v>
      </c>
      <c r="M161" s="772">
        <f t="shared" si="122"/>
        <v>19.656312795702195</v>
      </c>
      <c r="N161" s="771">
        <f t="shared" si="123"/>
        <v>1667.978542949586</v>
      </c>
      <c r="O161" s="773">
        <f t="shared" si="124"/>
        <v>95.035731924294083</v>
      </c>
      <c r="P161" s="771">
        <f t="shared" si="125"/>
        <v>6190.2078644258199</v>
      </c>
      <c r="Q161" s="519">
        <f t="shared" si="126"/>
        <v>6238.8725233033992</v>
      </c>
      <c r="R161" s="521">
        <f t="shared" si="127"/>
        <v>1687.6348557452882</v>
      </c>
      <c r="S161" s="518">
        <f t="shared" si="128"/>
        <v>95.035731924294083</v>
      </c>
      <c r="T161" s="519">
        <f t="shared" si="129"/>
        <v>6190.2078644258199</v>
      </c>
      <c r="U161" s="519">
        <f t="shared" si="130"/>
        <v>14211.750975398802</v>
      </c>
    </row>
    <row r="162" spans="1:21">
      <c r="A162" s="4">
        <f>'Input data'!A149</f>
        <v>2049</v>
      </c>
      <c r="B162" s="4"/>
      <c r="C162" s="769">
        <f>'4A SWD Case 2'!BN119</f>
        <v>290.85941599190903</v>
      </c>
      <c r="D162" s="3">
        <f>'4B Biological treatment '!T215</f>
        <v>0.94369175236896097</v>
      </c>
      <c r="E162" s="1157">
        <f>'4B Biological treatment '!U215</f>
        <v>42.466128856603234</v>
      </c>
      <c r="F162" s="1157">
        <f>'4B Biological treatment '!W215</f>
        <v>2.5479677313961941</v>
      </c>
      <c r="G162" s="952">
        <f>'4C2 Open-burning '!R154</f>
        <v>9.9694681839421868</v>
      </c>
      <c r="H162" s="952">
        <f>'4C2 Open-burning '!Z154</f>
        <v>3.3544208249136438</v>
      </c>
      <c r="I162" s="952">
        <f>'4C2 Open-burning '!AH154</f>
        <v>4.669919951551306E-2</v>
      </c>
      <c r="J162" s="987">
        <f>'4D Wastewater treatment and dis'!AV191</f>
        <v>240.35288360665007</v>
      </c>
      <c r="K162" s="770">
        <f>'4D Wastewater treatment and dis'!AW191</f>
        <v>3.7883784815520856</v>
      </c>
      <c r="L162" s="771">
        <f t="shared" si="121"/>
        <v>6108.0477358300896</v>
      </c>
      <c r="M162" s="772">
        <f t="shared" si="122"/>
        <v>19.81752679974818</v>
      </c>
      <c r="N162" s="771">
        <f t="shared" si="123"/>
        <v>1681.6587027214882</v>
      </c>
      <c r="O162" s="773">
        <f t="shared" si="124"/>
        <v>94.889057356937755</v>
      </c>
      <c r="P162" s="771">
        <f t="shared" si="125"/>
        <v>6221.8078850207985</v>
      </c>
      <c r="Q162" s="519">
        <f t="shared" si="126"/>
        <v>6108.0477358300896</v>
      </c>
      <c r="R162" s="521">
        <f t="shared" si="127"/>
        <v>1701.4762295212363</v>
      </c>
      <c r="S162" s="518">
        <f t="shared" si="128"/>
        <v>94.889057356937755</v>
      </c>
      <c r="T162" s="519">
        <f t="shared" si="129"/>
        <v>6221.8078850207985</v>
      </c>
      <c r="U162" s="519">
        <f t="shared" si="130"/>
        <v>14126.220907729061</v>
      </c>
    </row>
    <row r="163" spans="1:21">
      <c r="A163" s="4">
        <f>'Input data'!A150</f>
        <v>2050</v>
      </c>
      <c r="B163" s="4"/>
      <c r="C163" s="769">
        <f>'4A SWD Case 2'!BN120</f>
        <v>284.99009075603749</v>
      </c>
      <c r="D163" s="3">
        <f>'4B Biological treatment '!T216</f>
        <v>0.95159943533420632</v>
      </c>
      <c r="E163" s="1157">
        <f>'4B Biological treatment '!U216</f>
        <v>42.821974590039275</v>
      </c>
      <c r="F163" s="1157">
        <f>'4B Biological treatment '!W216</f>
        <v>2.5693184754023566</v>
      </c>
      <c r="G163" s="952">
        <f>'4C2 Open-burning '!R155</f>
        <v>9.9541832994375596</v>
      </c>
      <c r="H163" s="952">
        <f>'4C2 Open-burning '!Z155</f>
        <v>3.3492779292302703</v>
      </c>
      <c r="I163" s="952">
        <f>'4C2 Open-burning '!AH155</f>
        <v>4.6627601727357929E-2</v>
      </c>
      <c r="J163" s="987">
        <f>'4D Wastewater treatment and dis'!AV192</f>
        <v>241.57984661635467</v>
      </c>
      <c r="K163" s="770">
        <f>'4D Wastewater treatment and dis'!AW192</f>
        <v>3.8077175474866229</v>
      </c>
      <c r="L163" s="771">
        <f t="shared" si="121"/>
        <v>5984.7919058767875</v>
      </c>
      <c r="M163" s="772">
        <f t="shared" si="122"/>
        <v>19.983588142018334</v>
      </c>
      <c r="N163" s="771">
        <f t="shared" si="123"/>
        <v>1695.7501937655552</v>
      </c>
      <c r="O163" s="773">
        <f t="shared" si="124"/>
        <v>94.743576348754203</v>
      </c>
      <c r="P163" s="771">
        <f t="shared" si="125"/>
        <v>6253.5692186643009</v>
      </c>
      <c r="Q163" s="471">
        <f t="shared" si="126"/>
        <v>5984.7919058767875</v>
      </c>
      <c r="R163" s="517">
        <f t="shared" si="127"/>
        <v>1715.7337819075735</v>
      </c>
      <c r="S163" s="514">
        <f t="shared" si="128"/>
        <v>94.743576348754203</v>
      </c>
      <c r="T163" s="471">
        <f t="shared" si="129"/>
        <v>6253.5692186643009</v>
      </c>
      <c r="U163" s="471">
        <f t="shared" si="130"/>
        <v>14048.838482797415</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820.5169947820342</v>
      </c>
      <c r="D165" s="3">
        <f>'4B Biological treatment '!T218</f>
        <v>0.67299813826043153</v>
      </c>
      <c r="E165" s="178">
        <f>'4B Biological treatment '!U218</f>
        <v>18.624978520236688</v>
      </c>
      <c r="F165" s="178">
        <f>'4B Biological treatment '!W218</f>
        <v>1.1174987112142012</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17230.856890422718</v>
      </c>
      <c r="M165" s="772">
        <f t="shared" ref="M165:M197" si="131">D165*$B$3</f>
        <v>14.132960903469062</v>
      </c>
      <c r="N165" s="771">
        <f t="shared" ref="N165:N197" si="132">E165*$B$3+F165*$C$3</f>
        <v>737.5491494013728</v>
      </c>
      <c r="O165" s="773">
        <f t="shared" ref="O165:O197" si="133">G165+H165*$B$3+I165*$C$3</f>
        <v>313.30333811016669</v>
      </c>
      <c r="P165" s="771">
        <f t="shared" ref="P165:P197" si="134">J165*$B$3+K165*$C$3</f>
        <v>3778.1317878798554</v>
      </c>
      <c r="Q165" s="471">
        <f t="shared" ref="Q165:Q197" si="135">L165</f>
        <v>17230.856890422718</v>
      </c>
      <c r="R165" s="517">
        <f t="shared" ref="R165:R197" si="136">M165+N165</f>
        <v>751.6821103048419</v>
      </c>
      <c r="S165" s="514">
        <f t="shared" ref="S165:S197" si="137">O165</f>
        <v>313.30333811016669</v>
      </c>
      <c r="T165" s="471">
        <f t="shared" ref="T165:T197" si="138">P165</f>
        <v>3778.1317878798554</v>
      </c>
      <c r="U165" s="471">
        <f t="shared" ref="U165:U197" si="139">SUM(Q165:T165)</f>
        <v>22073.974126717581</v>
      </c>
    </row>
    <row r="166" spans="1:21">
      <c r="A166">
        <f>'Input data'!A119</f>
        <v>2019</v>
      </c>
      <c r="C166" s="314">
        <f>'4A SWD Case 3'!BG89</f>
        <v>801.90031185312534</v>
      </c>
      <c r="D166" s="3">
        <f>'4B Biological treatment '!T219</f>
        <v>1.2730382917711778</v>
      </c>
      <c r="E166" s="178">
        <f>'4B Biological treatment '!U219</f>
        <v>19.967485885685033</v>
      </c>
      <c r="F166" s="178">
        <f>'4B Biological treatment '!W219</f>
        <v>1.1980491531411017</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16839.906548915631</v>
      </c>
      <c r="M166" s="772">
        <f t="shared" si="131"/>
        <v>26.733804127194734</v>
      </c>
      <c r="N166" s="771">
        <f t="shared" si="132"/>
        <v>790.71244107312714</v>
      </c>
      <c r="O166" s="773">
        <f t="shared" si="133"/>
        <v>307.81392004196488</v>
      </c>
      <c r="P166" s="771">
        <f t="shared" si="134"/>
        <v>3922.0560748079342</v>
      </c>
      <c r="Q166" s="519">
        <f t="shared" si="135"/>
        <v>16839.906548915631</v>
      </c>
      <c r="R166" s="521">
        <f t="shared" si="136"/>
        <v>817.44624520032187</v>
      </c>
      <c r="S166" s="518">
        <f t="shared" si="137"/>
        <v>307.81392004196488</v>
      </c>
      <c r="T166" s="519">
        <f t="shared" si="138"/>
        <v>3922.0560748079342</v>
      </c>
      <c r="U166" s="519">
        <f t="shared" si="139"/>
        <v>21887.22278896585</v>
      </c>
    </row>
    <row r="167" spans="1:21">
      <c r="A167">
        <f>'Input data'!A120</f>
        <v>2020</v>
      </c>
      <c r="C167" s="314">
        <f>'4A SWD Case 3'!BG90</f>
        <v>781.98558841046611</v>
      </c>
      <c r="D167" s="3">
        <f>'4B Biological treatment '!T220</f>
        <v>1.8803547077905716</v>
      </c>
      <c r="E167" s="178">
        <f>'4B Biological treatment '!U220</f>
        <v>19.33698844230457</v>
      </c>
      <c r="F167" s="178">
        <f>'4B Biological treatment '!W220</f>
        <v>1.1602193065382742</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16421.697356619788</v>
      </c>
      <c r="M167" s="772">
        <f t="shared" si="131"/>
        <v>39.487448863602005</v>
      </c>
      <c r="N167" s="771">
        <f t="shared" si="132"/>
        <v>765.74474231526096</v>
      </c>
      <c r="O167" s="773">
        <f t="shared" si="133"/>
        <v>299.52410113774715</v>
      </c>
      <c r="P167" s="771">
        <f t="shared" si="134"/>
        <v>4069.6472808319609</v>
      </c>
      <c r="Q167" s="519">
        <f t="shared" si="135"/>
        <v>16421.697356619788</v>
      </c>
      <c r="R167" s="521">
        <f t="shared" si="136"/>
        <v>805.23219117886299</v>
      </c>
      <c r="S167" s="518">
        <f t="shared" si="137"/>
        <v>299.52410113774715</v>
      </c>
      <c r="T167" s="519">
        <f t="shared" si="138"/>
        <v>4069.6472808319609</v>
      </c>
      <c r="U167" s="519">
        <f t="shared" si="139"/>
        <v>21596.100929768359</v>
      </c>
    </row>
    <row r="168" spans="1:21">
      <c r="A168">
        <f>'Input data'!A121</f>
        <v>2021</v>
      </c>
      <c r="C168" s="314">
        <f>'4A SWD Case 3'!BG91</f>
        <v>761.00182317238682</v>
      </c>
      <c r="D168" s="3">
        <f>'4B Biological treatment '!T221</f>
        <v>2.8996452158719284</v>
      </c>
      <c r="E168" s="178">
        <f>'4B Biological treatment '!U221</f>
        <v>20.576689668787516</v>
      </c>
      <c r="F168" s="178">
        <f>'4B Biological treatment '!W221</f>
        <v>1.2346013801272511</v>
      </c>
      <c r="G168" s="952">
        <f>'4C2 Open-burning '!R160</f>
        <v>28.931012243244801</v>
      </c>
      <c r="H168" s="952">
        <f>'4C2 Open-burning '!Z160</f>
        <v>9.7343998861328558</v>
      </c>
      <c r="I168" s="952">
        <f>'4C2 Open-burning '!AH160</f>
        <v>0.13551927625479393</v>
      </c>
      <c r="J168" s="987">
        <f>'4D Wastewater treatment and dis'!AV197</f>
        <v>155.42542691703585</v>
      </c>
      <c r="K168" s="770">
        <f>'4D Wastewater treatment and dis'!AW197</f>
        <v>3.0248585614028385</v>
      </c>
      <c r="L168" s="771">
        <f t="shared" si="140"/>
        <v>15981.038286620123</v>
      </c>
      <c r="M168" s="772">
        <f t="shared" si="131"/>
        <v>60.892549533310493</v>
      </c>
      <c r="N168" s="771">
        <f t="shared" si="132"/>
        <v>814.83691088398564</v>
      </c>
      <c r="O168" s="773">
        <f t="shared" si="133"/>
        <v>275.36438549102087</v>
      </c>
      <c r="P168" s="771">
        <f t="shared" si="134"/>
        <v>4201.6401192926323</v>
      </c>
      <c r="Q168" s="519">
        <f t="shared" si="135"/>
        <v>15981.038286620123</v>
      </c>
      <c r="R168" s="521">
        <f t="shared" si="136"/>
        <v>875.72946041729608</v>
      </c>
      <c r="S168" s="518">
        <f t="shared" si="137"/>
        <v>275.36438549102087</v>
      </c>
      <c r="T168" s="519">
        <f t="shared" si="138"/>
        <v>4201.6401192926323</v>
      </c>
      <c r="U168" s="519">
        <f t="shared" si="139"/>
        <v>21333.772251821072</v>
      </c>
    </row>
    <row r="169" spans="1:21">
      <c r="A169">
        <f>'Input data'!A122</f>
        <v>2022</v>
      </c>
      <c r="C169" s="314">
        <f>'4A SWD Case 3'!BG92</f>
        <v>735.16157160923512</v>
      </c>
      <c r="D169" s="3">
        <f>'4B Biological treatment '!T222</f>
        <v>3.8323999612990796</v>
      </c>
      <c r="E169" s="178">
        <f>'4B Biological treatment '!U222</f>
        <v>19.161999806495395</v>
      </c>
      <c r="F169" s="178">
        <f>'4B Biological treatment '!W222</f>
        <v>1.1497199883897238</v>
      </c>
      <c r="G169" s="952">
        <f>'4C2 Open-burning '!R161</f>
        <v>24.077995052126731</v>
      </c>
      <c r="H169" s="952">
        <f>'4C2 Open-burning '!Z161</f>
        <v>8.1015081782510823</v>
      </c>
      <c r="I169" s="952">
        <f>'4C2 Open-burning '!AH161</f>
        <v>0.11278666766637657</v>
      </c>
      <c r="J169" s="987">
        <f>'4D Wastewater treatment and dis'!AV198</f>
        <v>161.31571105616422</v>
      </c>
      <c r="K169" s="770">
        <f>'4D Wastewater treatment and dis'!AW198</f>
        <v>3.0596873027184164</v>
      </c>
      <c r="L169" s="771">
        <f t="shared" si="140"/>
        <v>15438.393003793937</v>
      </c>
      <c r="M169" s="772">
        <f t="shared" si="131"/>
        <v>80.480399187280668</v>
      </c>
      <c r="N169" s="771">
        <f t="shared" si="132"/>
        <v>758.8151923372177</v>
      </c>
      <c r="O169" s="773">
        <f t="shared" si="133"/>
        <v>229.17353377197622</v>
      </c>
      <c r="P169" s="771">
        <f t="shared" si="134"/>
        <v>4336.1329960221574</v>
      </c>
      <c r="Q169" s="519">
        <f t="shared" si="135"/>
        <v>15438.393003793937</v>
      </c>
      <c r="R169" s="521">
        <f t="shared" si="136"/>
        <v>839.29559152449838</v>
      </c>
      <c r="S169" s="518">
        <f t="shared" si="137"/>
        <v>229.17353377197622</v>
      </c>
      <c r="T169" s="519">
        <f t="shared" si="138"/>
        <v>4336.1329960221574</v>
      </c>
      <c r="U169" s="519">
        <f t="shared" si="139"/>
        <v>20842.995125112568</v>
      </c>
    </row>
    <row r="170" spans="1:21">
      <c r="A170">
        <f>'Input data'!A123</f>
        <v>2023</v>
      </c>
      <c r="C170" s="314">
        <f>'4A SWD Case 3'!BG93</f>
        <v>707.56261899691424</v>
      </c>
      <c r="D170" s="3">
        <f>'4B Biological treatment '!T223</f>
        <v>3.8525756322754883</v>
      </c>
      <c r="E170" s="178">
        <f>'4B Biological treatment '!U223</f>
        <v>19.26287816137744</v>
      </c>
      <c r="F170" s="178">
        <f>'4B Biological treatment '!W223</f>
        <v>1.1557726896826463</v>
      </c>
      <c r="G170" s="952">
        <f>'4C2 Open-burning '!R162</f>
        <v>22.834713354191649</v>
      </c>
      <c r="H170" s="952">
        <f>'4C2 Open-burning '!Z162</f>
        <v>7.6831819504283345</v>
      </c>
      <c r="I170" s="952">
        <f>'4C2 Open-burning '!AH162</f>
        <v>0.10696286051893278</v>
      </c>
      <c r="J170" s="987">
        <f>'4D Wastewater treatment and dis'!AV199</f>
        <v>167.32103297774702</v>
      </c>
      <c r="K170" s="770">
        <f>'4D Wastewater treatment and dis'!AW199</f>
        <v>3.0949170681470224</v>
      </c>
      <c r="L170" s="771">
        <f t="shared" si="140"/>
        <v>14858.814998935199</v>
      </c>
      <c r="M170" s="772">
        <f t="shared" si="131"/>
        <v>80.904088277785249</v>
      </c>
      <c r="N170" s="771">
        <f t="shared" si="132"/>
        <v>762.80997519054665</v>
      </c>
      <c r="O170" s="773">
        <f t="shared" si="133"/>
        <v>217.34002107405581</v>
      </c>
      <c r="P170" s="771">
        <f t="shared" si="134"/>
        <v>4473.1659836582639</v>
      </c>
      <c r="Q170" s="519">
        <f t="shared" si="135"/>
        <v>14858.814998935199</v>
      </c>
      <c r="R170" s="521">
        <f t="shared" si="136"/>
        <v>843.71406346833191</v>
      </c>
      <c r="S170" s="518">
        <f t="shared" si="137"/>
        <v>217.34002107405581</v>
      </c>
      <c r="T170" s="519">
        <f t="shared" si="138"/>
        <v>4473.1659836582639</v>
      </c>
      <c r="U170" s="519">
        <f t="shared" si="139"/>
        <v>20393.03506713585</v>
      </c>
    </row>
    <row r="171" spans="1:21">
      <c r="A171">
        <f>'Input data'!A124</f>
        <v>2024</v>
      </c>
      <c r="C171" s="314">
        <f>'4A SWD Case 3'!BG94</f>
        <v>681.08841347080261</v>
      </c>
      <c r="D171" s="3">
        <f>'4B Biological treatment '!T224</f>
        <v>3.8742494318765743</v>
      </c>
      <c r="E171" s="178">
        <f>'4B Biological treatment '!U224</f>
        <v>19.371247159382868</v>
      </c>
      <c r="F171" s="178">
        <f>'4B Biological treatment '!W224</f>
        <v>1.1622748295629721</v>
      </c>
      <c r="G171" s="952">
        <f>'4C2 Open-burning '!R163</f>
        <v>21.570135720604139</v>
      </c>
      <c r="H171" s="952">
        <f>'4C2 Open-burning '!Z163</f>
        <v>7.2576902922415494</v>
      </c>
      <c r="I171" s="952">
        <f>'4C2 Open-burning '!AH163</f>
        <v>0.10103929848692009</v>
      </c>
      <c r="J171" s="987">
        <f>'4D Wastewater treatment and dis'!AV200</f>
        <v>173.44326090016418</v>
      </c>
      <c r="K171" s="770">
        <f>'4D Wastewater treatment and dis'!AW200</f>
        <v>3.1305524751492158</v>
      </c>
      <c r="L171" s="771">
        <f t="shared" si="140"/>
        <v>14302.856682886855</v>
      </c>
      <c r="M171" s="772">
        <f t="shared" si="131"/>
        <v>81.359238069408065</v>
      </c>
      <c r="N171" s="771">
        <f t="shared" si="132"/>
        <v>767.1013875115616</v>
      </c>
      <c r="O171" s="773">
        <f t="shared" si="133"/>
        <v>205.3038143886219</v>
      </c>
      <c r="P171" s="771">
        <f t="shared" si="134"/>
        <v>4612.7797461997052</v>
      </c>
      <c r="Q171" s="519">
        <f t="shared" si="135"/>
        <v>14302.856682886855</v>
      </c>
      <c r="R171" s="521">
        <f t="shared" si="136"/>
        <v>848.46062558096969</v>
      </c>
      <c r="S171" s="518">
        <f t="shared" si="137"/>
        <v>205.3038143886219</v>
      </c>
      <c r="T171" s="519">
        <f t="shared" si="138"/>
        <v>4612.7797461997052</v>
      </c>
      <c r="U171" s="519">
        <f t="shared" si="139"/>
        <v>19969.400869056153</v>
      </c>
    </row>
    <row r="172" spans="1:21">
      <c r="A172">
        <f>'Input data'!A125</f>
        <v>2025</v>
      </c>
      <c r="C172" s="314">
        <f>'4A SWD Case 3'!BG95</f>
        <v>655.65803177862301</v>
      </c>
      <c r="D172" s="3">
        <f>'4B Biological treatment '!T225</f>
        <v>3.8933199259140965</v>
      </c>
      <c r="E172" s="178">
        <f>'4B Biological treatment '!U225</f>
        <v>19.466599629570482</v>
      </c>
      <c r="F172" s="178">
        <f>'4B Biological treatment '!W225</f>
        <v>1.1679959777742288</v>
      </c>
      <c r="G172" s="952">
        <f>'4C2 Open-burning '!R164</f>
        <v>20.283486456074922</v>
      </c>
      <c r="H172" s="952">
        <f>'4C2 Open-burning '!Z164</f>
        <v>6.8247722059740834</v>
      </c>
      <c r="I172" s="952">
        <f>'4C2 Open-burning '!AH164</f>
        <v>9.5012348041607686E-2</v>
      </c>
      <c r="J172" s="987">
        <f>'4D Wastewater treatment and dis'!AV201</f>
        <v>179.68429081250378</v>
      </c>
      <c r="K172" s="770">
        <f>'4D Wastewater treatment and dis'!AW201</f>
        <v>3.166598194351784</v>
      </c>
      <c r="L172" s="771">
        <f t="shared" si="140"/>
        <v>13768.818667351083</v>
      </c>
      <c r="M172" s="772">
        <f t="shared" si="131"/>
        <v>81.759718444196025</v>
      </c>
      <c r="N172" s="771">
        <f t="shared" si="132"/>
        <v>770.87734533099115</v>
      </c>
      <c r="O172" s="773">
        <f t="shared" si="133"/>
        <v>193.05753067442905</v>
      </c>
      <c r="P172" s="771">
        <f t="shared" si="134"/>
        <v>4755.015547311632</v>
      </c>
      <c r="Q172" s="519">
        <f t="shared" si="135"/>
        <v>13768.818667351083</v>
      </c>
      <c r="R172" s="521">
        <f t="shared" si="136"/>
        <v>852.63706377518713</v>
      </c>
      <c r="S172" s="518">
        <f t="shared" si="137"/>
        <v>193.05753067442905</v>
      </c>
      <c r="T172" s="519">
        <f t="shared" si="138"/>
        <v>4755.015547311632</v>
      </c>
      <c r="U172" s="519">
        <f t="shared" si="139"/>
        <v>19569.528809112329</v>
      </c>
    </row>
    <row r="173" spans="1:21">
      <c r="A173">
        <f>'Input data'!A126</f>
        <v>2026</v>
      </c>
      <c r="C173" s="314">
        <f>'4A SWD Case 3'!BG96</f>
        <v>631.19402362310382</v>
      </c>
      <c r="D173" s="3">
        <f>'4B Biological treatment '!T226</f>
        <v>3.9108465098249674</v>
      </c>
      <c r="E173" s="178">
        <f>'4B Biological treatment '!U226</f>
        <v>19.554232549124833</v>
      </c>
      <c r="F173" s="178">
        <f>'4B Biological treatment '!W226</f>
        <v>1.1732539529474901</v>
      </c>
      <c r="G173" s="952">
        <f>'4C2 Open-burning '!R165</f>
        <v>18.985188117273655</v>
      </c>
      <c r="H173" s="952">
        <f>'4C2 Open-burning '!Z165</f>
        <v>6.3879345628548228</v>
      </c>
      <c r="I173" s="952">
        <f>'4C2 Open-burning '!AH165</f>
        <v>8.8930830749442052E-2</v>
      </c>
      <c r="J173" s="987">
        <f>'4D Wastewater treatment and dis'!AV202</f>
        <v>185.73930530907452</v>
      </c>
      <c r="K173" s="770">
        <f>'4D Wastewater treatment and dis'!AW202</f>
        <v>3.1977779387807019</v>
      </c>
      <c r="L173" s="771">
        <f t="shared" si="140"/>
        <v>13255.074496085181</v>
      </c>
      <c r="M173" s="772">
        <f t="shared" si="131"/>
        <v>82.127776706324312</v>
      </c>
      <c r="N173" s="771">
        <f t="shared" si="132"/>
        <v>774.34760894534338</v>
      </c>
      <c r="O173" s="773">
        <f t="shared" si="133"/>
        <v>180.70037146955198</v>
      </c>
      <c r="P173" s="771">
        <f t="shared" si="134"/>
        <v>4891.8365725125823</v>
      </c>
      <c r="Q173" s="519">
        <f t="shared" si="135"/>
        <v>13255.074496085181</v>
      </c>
      <c r="R173" s="521">
        <f t="shared" si="136"/>
        <v>856.47538565166769</v>
      </c>
      <c r="S173" s="518">
        <f t="shared" si="137"/>
        <v>180.70037146955198</v>
      </c>
      <c r="T173" s="519">
        <f t="shared" si="138"/>
        <v>4891.8365725125823</v>
      </c>
      <c r="U173" s="519">
        <f t="shared" si="139"/>
        <v>19184.08682571898</v>
      </c>
    </row>
    <row r="174" spans="1:21">
      <c r="A174">
        <f>'Input data'!A127</f>
        <v>2027</v>
      </c>
      <c r="C174" s="314">
        <f>'4A SWD Case 3'!BG97</f>
        <v>607.6184279290585</v>
      </c>
      <c r="D174" s="3">
        <f>'4B Biological treatment '!T227</f>
        <v>3.9269596540327507</v>
      </c>
      <c r="E174" s="178">
        <f>'4B Biological treatment '!U227</f>
        <v>19.634798270163749</v>
      </c>
      <c r="F174" s="178">
        <f>'4B Biological treatment '!W227</f>
        <v>1.1780878962098251</v>
      </c>
      <c r="G174" s="952">
        <f>'4C2 Open-burning '!R166</f>
        <v>17.661577035208051</v>
      </c>
      <c r="H174" s="952">
        <f>'4C2 Open-burning '!Z166</f>
        <v>5.9425799565861794</v>
      </c>
      <c r="I174" s="952">
        <f>'4C2 Open-burning '!AH166</f>
        <v>8.2730742955201886E-2</v>
      </c>
      <c r="J174" s="987">
        <f>'4D Wastewater treatment and dis'!AV203</f>
        <v>191.89613972825521</v>
      </c>
      <c r="K174" s="770">
        <f>'4D Wastewater treatment and dis'!AW203</f>
        <v>3.2292646929415123</v>
      </c>
      <c r="L174" s="771">
        <f t="shared" si="140"/>
        <v>12759.986986510228</v>
      </c>
      <c r="M174" s="772">
        <f t="shared" si="131"/>
        <v>82.466152734687768</v>
      </c>
      <c r="N174" s="771">
        <f t="shared" si="132"/>
        <v>777.53801149848459</v>
      </c>
      <c r="O174" s="773">
        <f t="shared" si="133"/>
        <v>168.10228643963038</v>
      </c>
      <c r="P174" s="771">
        <f t="shared" si="134"/>
        <v>5030.8909891052281</v>
      </c>
      <c r="Q174" s="519">
        <f t="shared" si="135"/>
        <v>12759.986986510228</v>
      </c>
      <c r="R174" s="521">
        <f t="shared" si="136"/>
        <v>860.00416423317233</v>
      </c>
      <c r="S174" s="518">
        <f t="shared" si="137"/>
        <v>168.10228643963038</v>
      </c>
      <c r="T174" s="519">
        <f t="shared" si="138"/>
        <v>5030.8909891052281</v>
      </c>
      <c r="U174" s="519">
        <f t="shared" si="139"/>
        <v>18818.984426288262</v>
      </c>
    </row>
    <row r="175" spans="1:21">
      <c r="A175">
        <f>'Input data'!A128</f>
        <v>2028</v>
      </c>
      <c r="C175" s="314">
        <f>'4A SWD Case 3'!BG98</f>
        <v>584.86069722532284</v>
      </c>
      <c r="D175" s="3">
        <f>'4B Biological treatment '!T228</f>
        <v>3.9456195100733291</v>
      </c>
      <c r="E175" s="178">
        <f>'4B Biological treatment '!U228</f>
        <v>19.728097550366645</v>
      </c>
      <c r="F175" s="178">
        <f>'4B Biological treatment '!W228</f>
        <v>1.1836858530219987</v>
      </c>
      <c r="G175" s="952">
        <f>'4C2 Open-burning '!R167</f>
        <v>16.311739327952854</v>
      </c>
      <c r="H175" s="952">
        <f>'4C2 Open-burning '!Z167</f>
        <v>5.48840089387914</v>
      </c>
      <c r="I175" s="952">
        <f>'4C2 Open-burning '!AH167</f>
        <v>7.6407803833313151E-2</v>
      </c>
      <c r="J175" s="987">
        <f>'4D Wastewater treatment and dis'!AV204</f>
        <v>198.15621215016739</v>
      </c>
      <c r="K175" s="770">
        <f>'4D Wastewater treatment and dis'!AW204</f>
        <v>3.2610614797895683</v>
      </c>
      <c r="L175" s="771">
        <f t="shared" si="140"/>
        <v>12282.074641731779</v>
      </c>
      <c r="M175" s="772">
        <f t="shared" si="131"/>
        <v>82.858009711539907</v>
      </c>
      <c r="N175" s="771">
        <f t="shared" si="132"/>
        <v>781.23266299451916</v>
      </c>
      <c r="O175" s="773">
        <f t="shared" si="133"/>
        <v>155.25457728774188</v>
      </c>
      <c r="P175" s="771">
        <f t="shared" si="134"/>
        <v>5172.2095138882814</v>
      </c>
      <c r="Q175" s="519">
        <f t="shared" si="135"/>
        <v>12282.074641731779</v>
      </c>
      <c r="R175" s="521">
        <f t="shared" si="136"/>
        <v>864.09067270605908</v>
      </c>
      <c r="S175" s="518">
        <f t="shared" si="137"/>
        <v>155.25457728774188</v>
      </c>
      <c r="T175" s="519">
        <f t="shared" si="138"/>
        <v>5172.2095138882814</v>
      </c>
      <c r="U175" s="519">
        <f t="shared" si="139"/>
        <v>18473.629405613861</v>
      </c>
    </row>
    <row r="176" spans="1:21">
      <c r="A176">
        <f>'Input data'!A129</f>
        <v>2029</v>
      </c>
      <c r="C176" s="314">
        <f>'4A SWD Case 3'!BG99</f>
        <v>562.85322239404525</v>
      </c>
      <c r="D176" s="3">
        <f>'4B Biological treatment '!T229</f>
        <v>3.9694106184835447</v>
      </c>
      <c r="E176" s="178">
        <f>'4B Biological treatment '!U229</f>
        <v>19.84705309241772</v>
      </c>
      <c r="F176" s="178">
        <f>'4B Biological treatment '!W229</f>
        <v>1.1908231855450633</v>
      </c>
      <c r="G176" s="952">
        <f>'4C2 Open-burning '!R168</f>
        <v>14.93472003386634</v>
      </c>
      <c r="H176" s="952">
        <f>'4C2 Open-burning '!Z168</f>
        <v>5.0250760593777697</v>
      </c>
      <c r="I176" s="952">
        <f>'4C2 Open-burning '!AH168</f>
        <v>6.9957540131701218E-2</v>
      </c>
      <c r="J176" s="987">
        <f>'4D Wastewater treatment and dis'!AV205</f>
        <v>204.52095870933701</v>
      </c>
      <c r="K176" s="770">
        <f>'4D Wastewater treatment and dis'!AW205</f>
        <v>3.2931713520456056</v>
      </c>
      <c r="L176" s="771">
        <f t="shared" si="140"/>
        <v>11819.91767027495</v>
      </c>
      <c r="M176" s="772">
        <f t="shared" si="131"/>
        <v>83.357622988154432</v>
      </c>
      <c r="N176" s="771">
        <f t="shared" si="132"/>
        <v>785.94330245974174</v>
      </c>
      <c r="O176" s="773">
        <f t="shared" si="133"/>
        <v>142.1481547216269</v>
      </c>
      <c r="P176" s="771">
        <f t="shared" si="134"/>
        <v>5315.8232520302154</v>
      </c>
      <c r="Q176" s="519">
        <f t="shared" si="135"/>
        <v>11819.91767027495</v>
      </c>
      <c r="R176" s="521">
        <f t="shared" si="136"/>
        <v>869.30092544789613</v>
      </c>
      <c r="S176" s="518">
        <f t="shared" si="137"/>
        <v>142.1481547216269</v>
      </c>
      <c r="T176" s="519">
        <f t="shared" si="138"/>
        <v>5315.8232520302154</v>
      </c>
      <c r="U176" s="519">
        <f t="shared" si="139"/>
        <v>18147.190002474686</v>
      </c>
    </row>
    <row r="177" spans="1:21">
      <c r="A177">
        <f>'Input data'!A130</f>
        <v>2030</v>
      </c>
      <c r="C177" s="314">
        <f>'4A SWD Case 3'!BG100</f>
        <v>541.53117078804519</v>
      </c>
      <c r="D177" s="3">
        <f>'4B Biological treatment '!T230</f>
        <v>3.9903512505633274</v>
      </c>
      <c r="E177" s="178">
        <f>'4B Biological treatment '!U230</f>
        <v>19.951756252816637</v>
      </c>
      <c r="F177" s="178">
        <f>'4B Biological treatment '!W230</f>
        <v>1.1971053751689982</v>
      </c>
      <c r="G177" s="952">
        <f>'4C2 Open-burning '!R169</f>
        <v>13.529520713203713</v>
      </c>
      <c r="H177" s="952">
        <f>'4C2 Open-burning '!Z169</f>
        <v>4.5522695086755505</v>
      </c>
      <c r="I177" s="952">
        <f>'4C2 Open-burning '!AH169</f>
        <v>6.3375274937216314E-2</v>
      </c>
      <c r="J177" s="987">
        <f>'4D Wastewater treatment and dis'!AV206</f>
        <v>210.99183381275145</v>
      </c>
      <c r="K177" s="770">
        <f>'4D Wastewater treatment and dis'!AW206</f>
        <v>3.3255973924888065</v>
      </c>
      <c r="L177" s="771">
        <f t="shared" si="140"/>
        <v>11372.15458654895</v>
      </c>
      <c r="M177" s="772">
        <f t="shared" si="131"/>
        <v>83.797376261829882</v>
      </c>
      <c r="N177" s="771">
        <f t="shared" si="132"/>
        <v>790.08954761153882</v>
      </c>
      <c r="O177" s="773">
        <f t="shared" si="133"/>
        <v>128.77351562592733</v>
      </c>
      <c r="P177" s="771">
        <f t="shared" si="134"/>
        <v>5461.7637017393099</v>
      </c>
      <c r="Q177" s="519">
        <f t="shared" si="135"/>
        <v>11372.15458654895</v>
      </c>
      <c r="R177" s="521">
        <f t="shared" si="136"/>
        <v>873.88692387336869</v>
      </c>
      <c r="S177" s="518">
        <f t="shared" si="137"/>
        <v>128.77351562592733</v>
      </c>
      <c r="T177" s="519">
        <f t="shared" si="138"/>
        <v>5461.7637017393099</v>
      </c>
      <c r="U177" s="519">
        <f t="shared" si="139"/>
        <v>17836.578727787557</v>
      </c>
    </row>
    <row r="178" spans="1:21">
      <c r="A178">
        <f>'Input data'!A131</f>
        <v>2031</v>
      </c>
      <c r="C178" s="314">
        <f>'4A SWD Case 3'!BG101</f>
        <v>520.8323310589933</v>
      </c>
      <c r="D178" s="3">
        <f>'4B Biological treatment '!T231</f>
        <v>3.9767383053805325</v>
      </c>
      <c r="E178" s="178">
        <f>'4B Biological treatment '!U231</f>
        <v>19.883691526902659</v>
      </c>
      <c r="F178" s="178">
        <f>'4B Biological treatment '!W231</f>
        <v>1.1930214916141597</v>
      </c>
      <c r="G178" s="952">
        <f>'4C2 Open-burning '!R170</f>
        <v>11.932120220532866</v>
      </c>
      <c r="H178" s="952">
        <f>'4C2 Open-burning '!Z170</f>
        <v>4.014793147903057</v>
      </c>
      <c r="I178" s="952">
        <f>'4C2 Open-burning '!AH170</f>
        <v>5.5892696836052552E-2</v>
      </c>
      <c r="J178" s="987">
        <f>'4D Wastewater treatment and dis'!AV207</f>
        <v>212.79249544373798</v>
      </c>
      <c r="K178" s="770">
        <f>'4D Wastewater treatment and dis'!AW207</f>
        <v>3.3539789441183268</v>
      </c>
      <c r="L178" s="771">
        <f t="shared" si="140"/>
        <v>10937.47895223886</v>
      </c>
      <c r="M178" s="772">
        <f t="shared" si="131"/>
        <v>83.511504412991187</v>
      </c>
      <c r="N178" s="771">
        <f t="shared" si="132"/>
        <v>787.39418446534535</v>
      </c>
      <c r="O178" s="773">
        <f t="shared" si="133"/>
        <v>113.56951234567336</v>
      </c>
      <c r="P178" s="771">
        <f t="shared" si="134"/>
        <v>5508.3758769951792</v>
      </c>
      <c r="Q178" s="519">
        <f t="shared" si="135"/>
        <v>10937.47895223886</v>
      </c>
      <c r="R178" s="521">
        <f t="shared" si="136"/>
        <v>870.90568887833649</v>
      </c>
      <c r="S178" s="518">
        <f t="shared" si="137"/>
        <v>113.56951234567336</v>
      </c>
      <c r="T178" s="519">
        <f t="shared" si="138"/>
        <v>5508.3758769951792</v>
      </c>
      <c r="U178" s="519">
        <f t="shared" si="139"/>
        <v>17430.330030458048</v>
      </c>
    </row>
    <row r="179" spans="1:21">
      <c r="A179">
        <f>'Input data'!A132</f>
        <v>2032</v>
      </c>
      <c r="C179" s="314">
        <f>'4A SWD Case 3'!BG102</f>
        <v>500.57139447025344</v>
      </c>
      <c r="D179" s="3">
        <f>'4B Biological treatment '!T232</f>
        <v>4.0145053111841333</v>
      </c>
      <c r="E179" s="178">
        <f>'4B Biological treatment '!U232</f>
        <v>20.072526555920664</v>
      </c>
      <c r="F179" s="178">
        <f>'4B Biological treatment '!W232</f>
        <v>1.20435159335524</v>
      </c>
      <c r="G179" s="952">
        <f>'4C2 Open-burning '!R171</f>
        <v>10.344645425665796</v>
      </c>
      <c r="H179" s="952">
        <f>'4C2 Open-burning '!Z171</f>
        <v>3.4806564805625984</v>
      </c>
      <c r="I179" s="952">
        <f>'4C2 Open-burning '!AH171</f>
        <v>4.8456612904238333E-2</v>
      </c>
      <c r="J179" s="987">
        <f>'4D Wastewater treatment and dis'!AV208</f>
        <v>214.60852441027842</v>
      </c>
      <c r="K179" s="770">
        <f>'4D Wastewater treatment and dis'!AW208</f>
        <v>3.3826027116200144</v>
      </c>
      <c r="L179" s="771">
        <f t="shared" si="140"/>
        <v>10511.999283875322</v>
      </c>
      <c r="M179" s="772">
        <f t="shared" si="131"/>
        <v>84.304611534866794</v>
      </c>
      <c r="N179" s="771">
        <f t="shared" si="132"/>
        <v>794.87205161445831</v>
      </c>
      <c r="O179" s="773">
        <f t="shared" si="133"/>
        <v>98.459981517794233</v>
      </c>
      <c r="P179" s="771">
        <f t="shared" si="134"/>
        <v>5555.3858532180511</v>
      </c>
      <c r="Q179" s="519">
        <f t="shared" si="135"/>
        <v>10511.999283875322</v>
      </c>
      <c r="R179" s="521">
        <f t="shared" si="136"/>
        <v>879.17666314932512</v>
      </c>
      <c r="S179" s="518">
        <f t="shared" si="137"/>
        <v>98.459981517794233</v>
      </c>
      <c r="T179" s="519">
        <f t="shared" si="138"/>
        <v>5555.3858532180511</v>
      </c>
      <c r="U179" s="519">
        <f t="shared" si="139"/>
        <v>17045.021781760493</v>
      </c>
    </row>
    <row r="180" spans="1:21">
      <c r="A180">
        <f>'Input data'!A133</f>
        <v>2033</v>
      </c>
      <c r="C180" s="314">
        <f>'4A SWD Case 3'!BG103</f>
        <v>480.7247025295203</v>
      </c>
      <c r="D180" s="3">
        <f>'4B Biological treatment '!T233</f>
        <v>4.0510255073947317</v>
      </c>
      <c r="E180" s="178">
        <f>'4B Biological treatment '!U233</f>
        <v>20.255127536973653</v>
      </c>
      <c r="F180" s="178">
        <f>'4B Biological treatment '!W233</f>
        <v>1.2153076522184192</v>
      </c>
      <c r="G180" s="952">
        <f>'4C2 Open-burning '!R172</f>
        <v>10.313981067569168</v>
      </c>
      <c r="H180" s="952">
        <f>'4C2 Open-burning '!Z172</f>
        <v>3.4703388628638314</v>
      </c>
      <c r="I180" s="952">
        <f>'4C2 Open-burning '!AH172</f>
        <v>4.8312974251669485E-2</v>
      </c>
      <c r="J180" s="987">
        <f>'4D Wastewater treatment and dis'!AV209</f>
        <v>216.44005186138909</v>
      </c>
      <c r="K180" s="770">
        <f>'4D Wastewater treatment and dis'!AW209</f>
        <v>3.4114707621299263</v>
      </c>
      <c r="L180" s="771">
        <f t="shared" si="140"/>
        <v>10095.218753119927</v>
      </c>
      <c r="M180" s="772">
        <f t="shared" si="131"/>
        <v>85.071535655289367</v>
      </c>
      <c r="N180" s="771">
        <f t="shared" si="132"/>
        <v>802.10305046415669</v>
      </c>
      <c r="O180" s="773">
        <f t="shared" si="133"/>
        <v>98.168119205727166</v>
      </c>
      <c r="P180" s="771">
        <f t="shared" si="134"/>
        <v>5602.7970253494477</v>
      </c>
      <c r="Q180" s="519">
        <f t="shared" si="135"/>
        <v>10095.218753119927</v>
      </c>
      <c r="R180" s="521">
        <f t="shared" si="136"/>
        <v>887.17458611944608</v>
      </c>
      <c r="S180" s="518">
        <f t="shared" si="137"/>
        <v>98.168119205727166</v>
      </c>
      <c r="T180" s="519">
        <f t="shared" si="138"/>
        <v>5602.7970253494477</v>
      </c>
      <c r="U180" s="519">
        <f t="shared" si="139"/>
        <v>16683.358483794549</v>
      </c>
    </row>
    <row r="181" spans="1:21">
      <c r="A181">
        <f>'Input data'!A134</f>
        <v>2034</v>
      </c>
      <c r="C181" s="314">
        <f>'4A SWD Case 3'!BG104</f>
        <v>461.85753506901801</v>
      </c>
      <c r="D181" s="3">
        <f>'4B Biological treatment '!T234</f>
        <v>4.0959341023994931</v>
      </c>
      <c r="E181" s="178">
        <f>'4B Biological treatment '!U234</f>
        <v>20.479670511997465</v>
      </c>
      <c r="F181" s="178">
        <f>'4B Biological treatment '!W234</f>
        <v>1.2287802307198479</v>
      </c>
      <c r="G181" s="952">
        <f>'4C2 Open-burning '!R173</f>
        <v>10.283755160967955</v>
      </c>
      <c r="H181" s="952">
        <f>'4C2 Open-burning '!Z173</f>
        <v>3.4601687706699158</v>
      </c>
      <c r="I181" s="952">
        <f>'4C2 Open-burning '!AH173</f>
        <v>4.8171389403123509E-2</v>
      </c>
      <c r="J181" s="987">
        <f>'4D Wastewater treatment and dis'!AV210</f>
        <v>218.28721006534801</v>
      </c>
      <c r="K181" s="770">
        <f>'4D Wastewater treatment and dis'!AW210</f>
        <v>3.4405851804256198</v>
      </c>
      <c r="L181" s="771">
        <f t="shared" si="140"/>
        <v>9699.0082364493792</v>
      </c>
      <c r="M181" s="772">
        <f t="shared" si="131"/>
        <v>86.014616150389358</v>
      </c>
      <c r="N181" s="771">
        <f t="shared" si="132"/>
        <v>810.99495227509965</v>
      </c>
      <c r="O181" s="773">
        <f t="shared" si="133"/>
        <v>97.880430060004471</v>
      </c>
      <c r="P181" s="771">
        <f t="shared" si="134"/>
        <v>5650.6128173042498</v>
      </c>
      <c r="Q181" s="519">
        <f t="shared" si="135"/>
        <v>9699.0082364493792</v>
      </c>
      <c r="R181" s="521">
        <f t="shared" si="136"/>
        <v>897.00956842548896</v>
      </c>
      <c r="S181" s="518">
        <f t="shared" si="137"/>
        <v>97.880430060004471</v>
      </c>
      <c r="T181" s="519">
        <f t="shared" si="138"/>
        <v>5650.6128173042498</v>
      </c>
      <c r="U181" s="519">
        <f t="shared" si="139"/>
        <v>16344.511052239122</v>
      </c>
    </row>
    <row r="182" spans="1:21">
      <c r="A182">
        <f>'Input data'!A135</f>
        <v>2035</v>
      </c>
      <c r="C182" s="314">
        <f>'4A SWD Case 3'!BG105</f>
        <v>443.92213625215533</v>
      </c>
      <c r="D182" s="3">
        <f>'4B Biological treatment '!T235</f>
        <v>4.1340449842336602</v>
      </c>
      <c r="E182" s="178">
        <f>'4B Biological treatment '!U235</f>
        <v>20.670224921168298</v>
      </c>
      <c r="F182" s="178">
        <f>'4B Biological treatment '!W235</f>
        <v>1.2402134952700981</v>
      </c>
      <c r="G182" s="952">
        <f>'4C2 Open-burning '!R174</f>
        <v>10.253959437125518</v>
      </c>
      <c r="H182" s="952">
        <f>'4C2 Open-burning '!Z174</f>
        <v>3.450143421804122</v>
      </c>
      <c r="I182" s="952">
        <f>'4C2 Open-burning '!AH174</f>
        <v>4.8031819626004571E-2</v>
      </c>
      <c r="J182" s="987">
        <f>'4D Wastewater treatment and dis'!AV211</f>
        <v>220.15013241924632</v>
      </c>
      <c r="K182" s="770">
        <f>'4D Wastewater treatment and dis'!AW211</f>
        <v>3.4699480690767106</v>
      </c>
      <c r="L182" s="771">
        <f t="shared" si="140"/>
        <v>9322.364861295262</v>
      </c>
      <c r="M182" s="772">
        <f t="shared" si="131"/>
        <v>86.814944668906861</v>
      </c>
      <c r="N182" s="771">
        <f t="shared" si="132"/>
        <v>818.54090687826465</v>
      </c>
      <c r="O182" s="773">
        <f t="shared" si="133"/>
        <v>97.596835379073497</v>
      </c>
      <c r="P182" s="771">
        <f t="shared" si="134"/>
        <v>5698.8366822179532</v>
      </c>
      <c r="Q182" s="519">
        <f t="shared" si="135"/>
        <v>9322.364861295262</v>
      </c>
      <c r="R182" s="521">
        <f t="shared" si="136"/>
        <v>905.35585154717148</v>
      </c>
      <c r="S182" s="518">
        <f t="shared" si="137"/>
        <v>97.596835379073497</v>
      </c>
      <c r="T182" s="519">
        <f t="shared" si="138"/>
        <v>5698.8366822179532</v>
      </c>
      <c r="U182" s="519">
        <f t="shared" si="139"/>
        <v>16024.154230439461</v>
      </c>
    </row>
    <row r="183" spans="1:21">
      <c r="A183">
        <f>'Input data'!A136</f>
        <v>2036</v>
      </c>
      <c r="C183" s="314">
        <f>'4A SWD Case 3'!BG106</f>
        <v>426.87307722540243</v>
      </c>
      <c r="D183" s="3">
        <f>'4B Biological treatment '!T236</f>
        <v>4.1719263139490446</v>
      </c>
      <c r="E183" s="178">
        <f>'4B Biological treatment '!U236</f>
        <v>20.859631569745222</v>
      </c>
      <c r="F183" s="178">
        <f>'4B Biological treatment '!W236</f>
        <v>1.2515778941847133</v>
      </c>
      <c r="G183" s="952">
        <f>'4C2 Open-burning '!R175</f>
        <v>10.228720631598184</v>
      </c>
      <c r="H183" s="952">
        <f>'4C2 Open-burning '!Z175</f>
        <v>3.4416513364396093</v>
      </c>
      <c r="I183" s="952">
        <f>'4C2 Open-burning '!AH175</f>
        <v>4.7913595464684461E-2</v>
      </c>
      <c r="J183" s="987">
        <f>'4D Wastewater treatment and dis'!AV212</f>
        <v>221.76188597912451</v>
      </c>
      <c r="K183" s="770">
        <f>'4D Wastewater treatment and dis'!AW212</f>
        <v>3.4953521017314642</v>
      </c>
      <c r="L183" s="771">
        <f t="shared" si="140"/>
        <v>8964.3346217334511</v>
      </c>
      <c r="M183" s="772">
        <f t="shared" si="131"/>
        <v>87.610452592929931</v>
      </c>
      <c r="N183" s="771">
        <f t="shared" si="132"/>
        <v>826.04141016191079</v>
      </c>
      <c r="O183" s="773">
        <f t="shared" si="133"/>
        <v>97.356613290882166</v>
      </c>
      <c r="P183" s="771">
        <f t="shared" si="134"/>
        <v>5740.5587570983689</v>
      </c>
      <c r="Q183" s="519">
        <f t="shared" si="135"/>
        <v>8964.3346217334511</v>
      </c>
      <c r="R183" s="521">
        <f t="shared" si="136"/>
        <v>913.65186275484075</v>
      </c>
      <c r="S183" s="518">
        <f t="shared" si="137"/>
        <v>97.356613290882166</v>
      </c>
      <c r="T183" s="519">
        <f t="shared" si="138"/>
        <v>5740.5587570983689</v>
      </c>
      <c r="U183" s="519">
        <f t="shared" si="139"/>
        <v>15715.901854877542</v>
      </c>
    </row>
    <row r="184" spans="1:21">
      <c r="A184">
        <f>'Input data'!A137</f>
        <v>2037</v>
      </c>
      <c r="C184" s="314">
        <f>'4A SWD Case 3'!BG107</f>
        <v>410.665211060339</v>
      </c>
      <c r="D184" s="3">
        <f>'4B Biological treatment '!T237</f>
        <v>4.2131142117436333</v>
      </c>
      <c r="E184" s="178">
        <f>'4B Biological treatment '!U237</f>
        <v>21.065571058718163</v>
      </c>
      <c r="F184" s="178">
        <f>'4B Biological treatment '!W237</f>
        <v>1.2639342635230899</v>
      </c>
      <c r="G184" s="952">
        <f>'4C2 Open-burning '!R176</f>
        <v>10.203787853753196</v>
      </c>
      <c r="H184" s="952">
        <f>'4C2 Open-burning '!Z176</f>
        <v>3.4332622200210539</v>
      </c>
      <c r="I184" s="952">
        <f>'4C2 Open-burning '!AH176</f>
        <v>4.7796804804884317E-2</v>
      </c>
      <c r="J184" s="987">
        <f>'4D Wastewater treatment and dis'!AV213</f>
        <v>223.38543943895829</v>
      </c>
      <c r="K184" s="770">
        <f>'4D Wastewater treatment and dis'!AW213</f>
        <v>3.5209421212835057</v>
      </c>
      <c r="L184" s="771">
        <f t="shared" si="140"/>
        <v>8623.9694322671185</v>
      </c>
      <c r="M184" s="772">
        <f t="shared" si="131"/>
        <v>88.475398446616296</v>
      </c>
      <c r="N184" s="771">
        <f t="shared" si="132"/>
        <v>834.19661392523926</v>
      </c>
      <c r="O184" s="773">
        <f t="shared" si="133"/>
        <v>97.11930396370947</v>
      </c>
      <c r="P184" s="771">
        <f t="shared" si="134"/>
        <v>5782.5862858160108</v>
      </c>
      <c r="Q184" s="519">
        <f t="shared" si="135"/>
        <v>8623.9694322671185</v>
      </c>
      <c r="R184" s="521">
        <f t="shared" si="136"/>
        <v>922.67201237185554</v>
      </c>
      <c r="S184" s="518">
        <f t="shared" si="137"/>
        <v>97.11930396370947</v>
      </c>
      <c r="T184" s="519">
        <f t="shared" si="138"/>
        <v>5782.5862858160108</v>
      </c>
      <c r="U184" s="519">
        <f t="shared" si="139"/>
        <v>15426.347034418694</v>
      </c>
    </row>
    <row r="185" spans="1:21">
      <c r="A185">
        <f>'Input data'!A138</f>
        <v>2038</v>
      </c>
      <c r="C185" s="314">
        <f>'4A SWD Case 3'!BG108</f>
        <v>395.45452402287066</v>
      </c>
      <c r="D185" s="3">
        <f>'4B Biological treatment '!T238</f>
        <v>4.2530833642705108</v>
      </c>
      <c r="E185" s="178">
        <f>'4B Biological treatment '!U238</f>
        <v>21.265416821352552</v>
      </c>
      <c r="F185" s="178">
        <f>'4B Biological treatment '!W238</f>
        <v>1.2759250092811532</v>
      </c>
      <c r="G185" s="952">
        <f>'4C2 Open-burning '!R177</f>
        <v>10.179156222495859</v>
      </c>
      <c r="H185" s="952">
        <f>'4C2 Open-burning '!Z177</f>
        <v>3.4249744302095286</v>
      </c>
      <c r="I185" s="952">
        <f>'4C2 Open-burning '!AH177</f>
        <v>4.7681424782474335E-2</v>
      </c>
      <c r="J185" s="987">
        <f>'4D Wastewater treatment and dis'!AV214</f>
        <v>225.02087918766139</v>
      </c>
      <c r="K185" s="770">
        <f>'4D Wastewater treatment and dis'!AW214</f>
        <v>3.5467194893720086</v>
      </c>
      <c r="L185" s="771">
        <f t="shared" si="140"/>
        <v>8304.5450044802838</v>
      </c>
      <c r="M185" s="772">
        <f t="shared" si="131"/>
        <v>89.314750649680732</v>
      </c>
      <c r="N185" s="771">
        <f t="shared" si="132"/>
        <v>842.11050612556107</v>
      </c>
      <c r="O185" s="773">
        <f t="shared" si="133"/>
        <v>96.88486093946301</v>
      </c>
      <c r="P185" s="771">
        <f t="shared" si="134"/>
        <v>5824.9215046462123</v>
      </c>
      <c r="Q185" s="519">
        <f t="shared" si="135"/>
        <v>8304.5450044802838</v>
      </c>
      <c r="R185" s="521">
        <f t="shared" si="136"/>
        <v>931.42525677524179</v>
      </c>
      <c r="S185" s="518">
        <f t="shared" si="137"/>
        <v>96.88486093946301</v>
      </c>
      <c r="T185" s="519">
        <f t="shared" si="138"/>
        <v>5824.9215046462123</v>
      </c>
      <c r="U185" s="519">
        <f t="shared" si="139"/>
        <v>15157.7766268412</v>
      </c>
    </row>
    <row r="186" spans="1:21">
      <c r="A186">
        <f>'Input data'!A139</f>
        <v>2039</v>
      </c>
      <c r="C186" s="314">
        <f>'4A SWD Case 3'!BG109</f>
        <v>381.39031433250562</v>
      </c>
      <c r="D186" s="3">
        <f>'4B Biological treatment '!T239</f>
        <v>4.2939206221802273</v>
      </c>
      <c r="E186" s="178">
        <f>'4B Biological treatment '!U239</f>
        <v>21.469603110901136</v>
      </c>
      <c r="F186" s="178">
        <f>'4B Biological treatment '!W239</f>
        <v>1.2881761866540682</v>
      </c>
      <c r="G186" s="952">
        <f>'4C2 Open-burning '!R178</f>
        <v>10.154820958102038</v>
      </c>
      <c r="H186" s="952">
        <f>'4C2 Open-burning '!Z178</f>
        <v>3.4167863587741936</v>
      </c>
      <c r="I186" s="952">
        <f>'4C2 Open-burning '!AH178</f>
        <v>4.7567433008166821E-2</v>
      </c>
      <c r="J186" s="987">
        <f>'4D Wastewater treatment and dis'!AV215</f>
        <v>226.66829224661399</v>
      </c>
      <c r="K186" s="770">
        <f>'4D Wastewater treatment and dis'!AW215</f>
        <v>3.5726855776049167</v>
      </c>
      <c r="L186" s="771">
        <f t="shared" si="140"/>
        <v>8009.1966009826183</v>
      </c>
      <c r="M186" s="772">
        <f t="shared" si="131"/>
        <v>90.17233306578477</v>
      </c>
      <c r="N186" s="771">
        <f t="shared" si="132"/>
        <v>850.1962831916851</v>
      </c>
      <c r="O186" s="773">
        <f t="shared" si="133"/>
        <v>96.653238724891821</v>
      </c>
      <c r="P186" s="771">
        <f t="shared" si="134"/>
        <v>5867.5666662364183</v>
      </c>
      <c r="Q186" s="519">
        <f t="shared" si="135"/>
        <v>8009.1966009826183</v>
      </c>
      <c r="R186" s="521">
        <f t="shared" si="136"/>
        <v>940.36861625746985</v>
      </c>
      <c r="S186" s="518">
        <f t="shared" si="137"/>
        <v>96.653238724891821</v>
      </c>
      <c r="T186" s="519">
        <f t="shared" si="138"/>
        <v>5867.5666662364183</v>
      </c>
      <c r="U186" s="519">
        <f t="shared" si="139"/>
        <v>14913.785122201398</v>
      </c>
    </row>
    <row r="187" spans="1:21">
      <c r="A187">
        <f>'Input data'!A140</f>
        <v>2040</v>
      </c>
      <c r="C187" s="314">
        <f>'4A SWD Case 3'!BG110</f>
        <v>368.42361592047644</v>
      </c>
      <c r="D187" s="3">
        <f>'4B Biological treatment '!T240</f>
        <v>4.3352733672591857</v>
      </c>
      <c r="E187" s="178">
        <f>'4B Biological treatment '!U240</f>
        <v>21.676366836295927</v>
      </c>
      <c r="F187" s="178">
        <f>'4B Biological treatment '!W240</f>
        <v>1.3005820101777559</v>
      </c>
      <c r="G187" s="952">
        <f>'4C2 Open-burning '!R179</f>
        <v>10.130777379596603</v>
      </c>
      <c r="H187" s="952">
        <f>'4C2 Open-burning '!Z179</f>
        <v>3.4086964307102301</v>
      </c>
      <c r="I187" s="952">
        <f>'4C2 Open-burning '!AH179</f>
        <v>4.7454807555236386E-2</v>
      </c>
      <c r="J187" s="987">
        <f>'4D Wastewater treatment and dis'!AV216</f>
        <v>228.32776627429359</v>
      </c>
      <c r="K187" s="770">
        <f>'4D Wastewater treatment and dis'!AW216</f>
        <v>3.5988417676319293</v>
      </c>
      <c r="L187" s="771">
        <f t="shared" si="140"/>
        <v>7736.8959343300048</v>
      </c>
      <c r="M187" s="772">
        <f t="shared" si="131"/>
        <v>91.040740712442897</v>
      </c>
      <c r="N187" s="771">
        <f t="shared" si="132"/>
        <v>858.38412671731885</v>
      </c>
      <c r="O187" s="773">
        <f t="shared" si="133"/>
        <v>96.424392766634725</v>
      </c>
      <c r="P187" s="771">
        <f t="shared" si="134"/>
        <v>5910.5240397260632</v>
      </c>
      <c r="Q187" s="519">
        <f t="shared" si="135"/>
        <v>7736.8959343300048</v>
      </c>
      <c r="R187" s="521">
        <f t="shared" si="136"/>
        <v>949.42486742976178</v>
      </c>
      <c r="S187" s="518">
        <f t="shared" si="137"/>
        <v>96.424392766634725</v>
      </c>
      <c r="T187" s="519">
        <f t="shared" si="138"/>
        <v>5910.5240397260632</v>
      </c>
      <c r="U187" s="519">
        <f t="shared" si="139"/>
        <v>14693.269234252464</v>
      </c>
    </row>
    <row r="188" spans="1:21">
      <c r="A188">
        <f>'Input data'!A141</f>
        <v>2041</v>
      </c>
      <c r="C188" s="314">
        <f>'4A SWD Case 3'!BG111</f>
        <v>356.50736170331243</v>
      </c>
      <c r="D188" s="3">
        <f>'4B Biological treatment '!T241</f>
        <v>4.3809150258270257</v>
      </c>
      <c r="E188" s="178">
        <f>'4B Biological treatment '!U241</f>
        <v>21.904575129135125</v>
      </c>
      <c r="F188" s="178">
        <f>'4B Biological treatment '!W241</f>
        <v>1.3142745077481077</v>
      </c>
      <c r="G188" s="952">
        <f>'4C2 Open-burning '!R180</f>
        <v>10.110594115867604</v>
      </c>
      <c r="H188" s="952">
        <f>'4C2 Open-burning '!Z180</f>
        <v>3.4019053803835608</v>
      </c>
      <c r="I188" s="952">
        <f>'4C2 Open-burning '!AH180</f>
        <v>4.7360264672670904E-2</v>
      </c>
      <c r="J188" s="987">
        <f>'4D Wastewater treatment and dis'!AV217</f>
        <v>229.74589393780369</v>
      </c>
      <c r="K188" s="770">
        <f>'4D Wastewater treatment and dis'!AW217</f>
        <v>3.6211939201999317</v>
      </c>
      <c r="L188" s="771">
        <f t="shared" si="140"/>
        <v>7486.6545957695607</v>
      </c>
      <c r="M188" s="772">
        <f t="shared" si="131"/>
        <v>91.999215542367537</v>
      </c>
      <c r="N188" s="771">
        <f t="shared" si="132"/>
        <v>867.42117511375102</v>
      </c>
      <c r="O188" s="773">
        <f t="shared" si="133"/>
        <v>96.232289152450349</v>
      </c>
      <c r="P188" s="771">
        <f t="shared" si="134"/>
        <v>5947.2338879558556</v>
      </c>
      <c r="Q188" s="519">
        <f t="shared" si="135"/>
        <v>7486.6545957695607</v>
      </c>
      <c r="R188" s="521">
        <f t="shared" si="136"/>
        <v>959.42039065611857</v>
      </c>
      <c r="S188" s="518">
        <f t="shared" si="137"/>
        <v>96.232289152450349</v>
      </c>
      <c r="T188" s="519">
        <f t="shared" si="138"/>
        <v>5947.2338879558556</v>
      </c>
      <c r="U188" s="519">
        <f t="shared" si="139"/>
        <v>14489.541163533986</v>
      </c>
    </row>
    <row r="189" spans="1:21">
      <c r="A189">
        <f>'Input data'!A142</f>
        <v>2042</v>
      </c>
      <c r="C189" s="314">
        <f>'4A SWD Case 3'!BG112</f>
        <v>345.57034126652468</v>
      </c>
      <c r="D189" s="3">
        <f>'4B Biological treatment '!T242</f>
        <v>4.4230088930983555</v>
      </c>
      <c r="E189" s="178">
        <f>'4B Biological treatment '!U242</f>
        <v>22.115044465491778</v>
      </c>
      <c r="F189" s="178">
        <f>'4B Biological treatment '!W242</f>
        <v>1.3269026679295064</v>
      </c>
      <c r="G189" s="952">
        <f>'4C2 Open-burning '!R181</f>
        <v>10.090614955764785</v>
      </c>
      <c r="H189" s="952">
        <f>'4C2 Open-burning '!Z181</f>
        <v>3.3951830046783922</v>
      </c>
      <c r="I189" s="952">
        <f>'4C2 Open-burning '!AH181</f>
        <v>4.7266677856746583E-2</v>
      </c>
      <c r="J189" s="987">
        <f>'4D Wastewater treatment and dis'!AV218</f>
        <v>231.17282949228024</v>
      </c>
      <c r="K189" s="770">
        <f>'4D Wastewater treatment and dis'!AW218</f>
        <v>3.6436849004121257</v>
      </c>
      <c r="L189" s="771">
        <f t="shared" si="140"/>
        <v>7256.9771665970184</v>
      </c>
      <c r="M189" s="772">
        <f t="shared" si="131"/>
        <v>92.883186755065466</v>
      </c>
      <c r="N189" s="771">
        <f t="shared" si="132"/>
        <v>875.75576083347437</v>
      </c>
      <c r="O189" s="773">
        <f t="shared" si="133"/>
        <v>96.042128189602451</v>
      </c>
      <c r="P189" s="771">
        <f t="shared" si="134"/>
        <v>5984.171738465644</v>
      </c>
      <c r="Q189" s="519">
        <f t="shared" si="135"/>
        <v>7256.9771665970184</v>
      </c>
      <c r="R189" s="521">
        <f t="shared" si="136"/>
        <v>968.63894758853985</v>
      </c>
      <c r="S189" s="518">
        <f t="shared" si="137"/>
        <v>96.042128189602451</v>
      </c>
      <c r="T189" s="519">
        <f t="shared" si="138"/>
        <v>5984.171738465644</v>
      </c>
      <c r="U189" s="519">
        <f t="shared" si="139"/>
        <v>14305.829980840806</v>
      </c>
    </row>
    <row r="190" spans="1:21">
      <c r="A190">
        <f>'Input data'!A143</f>
        <v>2043</v>
      </c>
      <c r="C190" s="314">
        <f>'4A SWD Case 3'!BG113</f>
        <v>335.56888723225404</v>
      </c>
      <c r="D190" s="3">
        <f>'4B Biological treatment '!T243</f>
        <v>4.4651828260123132</v>
      </c>
      <c r="E190" s="178">
        <f>'4B Biological treatment '!U243</f>
        <v>22.325914130061566</v>
      </c>
      <c r="F190" s="178">
        <f>'4B Biological treatment '!W243</f>
        <v>1.339554847803694</v>
      </c>
      <c r="G190" s="952">
        <f>'4C2 Open-burning '!R182</f>
        <v>10.070837196069071</v>
      </c>
      <c r="H190" s="952">
        <f>'4C2 Open-burning '!Z182</f>
        <v>3.3885283940442661</v>
      </c>
      <c r="I190" s="952">
        <f>'4C2 Open-burning '!AH182</f>
        <v>4.7174034444985899E-2</v>
      </c>
      <c r="J190" s="987">
        <f>'4D Wastewater treatment and dis'!AV219</f>
        <v>232.6086276429136</v>
      </c>
      <c r="K190" s="770">
        <f>'4D Wastewater treatment and dis'!AW219</f>
        <v>3.666315570517225</v>
      </c>
      <c r="L190" s="771">
        <f t="shared" si="140"/>
        <v>7046.9466318773348</v>
      </c>
      <c r="M190" s="772">
        <f t="shared" si="131"/>
        <v>93.768839346258574</v>
      </c>
      <c r="N190" s="771">
        <f t="shared" si="132"/>
        <v>884.10619955043808</v>
      </c>
      <c r="O190" s="773">
        <f t="shared" si="133"/>
        <v>95.853884148944275</v>
      </c>
      <c r="P190" s="771">
        <f t="shared" si="134"/>
        <v>6021.3390073615255</v>
      </c>
      <c r="Q190" s="519">
        <f t="shared" si="135"/>
        <v>7046.9466318773348</v>
      </c>
      <c r="R190" s="521">
        <f t="shared" si="136"/>
        <v>977.87503889669665</v>
      </c>
      <c r="S190" s="518">
        <f t="shared" si="137"/>
        <v>95.853884148944275</v>
      </c>
      <c r="T190" s="519">
        <f t="shared" si="138"/>
        <v>6021.3390073615255</v>
      </c>
      <c r="U190" s="519">
        <f t="shared" si="139"/>
        <v>14142.014562284501</v>
      </c>
    </row>
    <row r="191" spans="1:21">
      <c r="A191">
        <f>'Input data'!A144</f>
        <v>2044</v>
      </c>
      <c r="C191" s="314">
        <f>'4A SWD Case 3'!BG114</f>
        <v>326.46205948138441</v>
      </c>
      <c r="D191" s="3">
        <f>'4B Biological treatment '!T244</f>
        <v>4.50827928956316</v>
      </c>
      <c r="E191" s="178">
        <f>'4B Biological treatment '!U244</f>
        <v>22.541396447815799</v>
      </c>
      <c r="F191" s="178">
        <f>'4B Biological treatment '!W244</f>
        <v>1.3524837868689477</v>
      </c>
      <c r="G191" s="952">
        <f>'4C2 Open-burning '!R183</f>
        <v>10.05125818014367</v>
      </c>
      <c r="H191" s="952">
        <f>'4C2 Open-burning '!Z183</f>
        <v>3.3819406546042359</v>
      </c>
      <c r="I191" s="952">
        <f>'4C2 Open-burning '!AH183</f>
        <v>4.7082321993113047E-2</v>
      </c>
      <c r="J191" s="987">
        <f>'4D Wastewater treatment and dis'!AV220</f>
        <v>234.0533434346637</v>
      </c>
      <c r="K191" s="770">
        <f>'4D Wastewater treatment and dis'!AW220</f>
        <v>3.6890867981193103</v>
      </c>
      <c r="L191" s="771">
        <f t="shared" si="140"/>
        <v>6855.7032491090731</v>
      </c>
      <c r="M191" s="772">
        <f t="shared" si="131"/>
        <v>94.67386508082636</v>
      </c>
      <c r="N191" s="771">
        <f t="shared" si="132"/>
        <v>892.63929933350551</v>
      </c>
      <c r="O191" s="773">
        <f t="shared" si="133"/>
        <v>95.667531744697669</v>
      </c>
      <c r="P191" s="771">
        <f t="shared" si="134"/>
        <v>6058.7371195449232</v>
      </c>
      <c r="Q191" s="519">
        <f t="shared" si="135"/>
        <v>6855.7032491090731</v>
      </c>
      <c r="R191" s="521">
        <f t="shared" si="136"/>
        <v>987.31316441433182</v>
      </c>
      <c r="S191" s="518">
        <f t="shared" si="137"/>
        <v>95.667531744697669</v>
      </c>
      <c r="T191" s="519">
        <f t="shared" si="138"/>
        <v>6058.7371195449232</v>
      </c>
      <c r="U191" s="519">
        <f t="shared" si="139"/>
        <v>13997.421064813025</v>
      </c>
    </row>
    <row r="192" spans="1:21">
      <c r="A192">
        <f>'Input data'!A145</f>
        <v>2045</v>
      </c>
      <c r="C192" s="314">
        <f>'4A SWD Case 3'!BG115</f>
        <v>318.2109395729255</v>
      </c>
      <c r="D192" s="3">
        <f>'4B Biological treatment '!T245</f>
        <v>4.5526009354644881</v>
      </c>
      <c r="E192" s="178">
        <f>'4B Biological treatment '!U245</f>
        <v>22.763004677322435</v>
      </c>
      <c r="F192" s="178">
        <f>'4B Biological treatment '!W245</f>
        <v>1.365780280639346</v>
      </c>
      <c r="G192" s="952">
        <f>'4C2 Open-burning '!R184</f>
        <v>10.031875296933659</v>
      </c>
      <c r="H192" s="952">
        <f>'4C2 Open-burning '!Z184</f>
        <v>3.3754189078182595</v>
      </c>
      <c r="I192" s="952">
        <f>'4C2 Open-burning '!AH184</f>
        <v>4.6991528270367816E-2</v>
      </c>
      <c r="J192" s="987">
        <f>'4D Wastewater treatment and dis'!AV221</f>
        <v>235.50703225437104</v>
      </c>
      <c r="K192" s="770">
        <f>'4D Wastewater treatment and dis'!AW221</f>
        <v>3.711999456211089</v>
      </c>
      <c r="L192" s="771">
        <f t="shared" si="140"/>
        <v>6682.429731031435</v>
      </c>
      <c r="M192" s="772">
        <f t="shared" si="131"/>
        <v>95.604619644754251</v>
      </c>
      <c r="N192" s="771">
        <f t="shared" si="132"/>
        <v>901.41498522196844</v>
      </c>
      <c r="O192" s="773">
        <f t="shared" si="133"/>
        <v>95.483046124931136</v>
      </c>
      <c r="P192" s="771">
        <f t="shared" si="134"/>
        <v>6096.3675087672291</v>
      </c>
      <c r="Q192" s="519">
        <f t="shared" si="135"/>
        <v>6682.429731031435</v>
      </c>
      <c r="R192" s="521">
        <f t="shared" si="136"/>
        <v>997.01960486672272</v>
      </c>
      <c r="S192" s="518">
        <f t="shared" si="137"/>
        <v>95.483046124931136</v>
      </c>
      <c r="T192" s="519">
        <f t="shared" si="138"/>
        <v>6096.3675087672291</v>
      </c>
      <c r="U192" s="519">
        <f t="shared" si="139"/>
        <v>13871.299890790318</v>
      </c>
    </row>
    <row r="193" spans="1:21">
      <c r="A193">
        <f>'Input data'!A146</f>
        <v>2046</v>
      </c>
      <c r="C193" s="314">
        <f>'4A SWD Case 3'!BG116</f>
        <v>310.77841340955365</v>
      </c>
      <c r="D193" s="3">
        <f>'4B Biological treatment '!T246</f>
        <v>4.601970537881785</v>
      </c>
      <c r="E193" s="178">
        <f>'4B Biological treatment '!U246</f>
        <v>23.009852689408923</v>
      </c>
      <c r="F193" s="178">
        <f>'4B Biological treatment '!W246</f>
        <v>1.3805911613645352</v>
      </c>
      <c r="G193" s="952">
        <f>'4C2 Open-burning '!R185</f>
        <v>10.016080649685344</v>
      </c>
      <c r="H193" s="952">
        <f>'4C2 Open-burning '!Z185</f>
        <v>3.3701044925782111</v>
      </c>
      <c r="I193" s="952">
        <f>'4C2 Open-burning '!AH185</f>
        <v>4.6917542640490965E-2</v>
      </c>
      <c r="J193" s="987">
        <f>'4D Wastewater treatment and dis'!AV222</f>
        <v>236.70925796835201</v>
      </c>
      <c r="K193" s="770">
        <f>'4D Wastewater treatment and dis'!AW222</f>
        <v>3.7309486194433799</v>
      </c>
      <c r="L193" s="771">
        <f t="shared" si="140"/>
        <v>6526.3466816006267</v>
      </c>
      <c r="M193" s="772">
        <f t="shared" si="131"/>
        <v>96.64138129551749</v>
      </c>
      <c r="N193" s="771">
        <f t="shared" si="132"/>
        <v>911.19016650059325</v>
      </c>
      <c r="O193" s="773">
        <f t="shared" si="133"/>
        <v>95.332713212379986</v>
      </c>
      <c r="P193" s="771">
        <f t="shared" si="134"/>
        <v>6127.4884893628396</v>
      </c>
      <c r="Q193" s="519">
        <f t="shared" si="135"/>
        <v>6526.3466816006267</v>
      </c>
      <c r="R193" s="521">
        <f t="shared" si="136"/>
        <v>1007.8315477961107</v>
      </c>
      <c r="S193" s="518">
        <f t="shared" si="137"/>
        <v>95.332713212379986</v>
      </c>
      <c r="T193" s="519">
        <f t="shared" si="138"/>
        <v>6127.4884893628396</v>
      </c>
      <c r="U193" s="519">
        <f t="shared" si="139"/>
        <v>13756.999431971955</v>
      </c>
    </row>
    <row r="194" spans="1:21">
      <c r="A194">
        <f>'Input data'!A147</f>
        <v>2047</v>
      </c>
      <c r="C194" s="314">
        <f>'4A SWD Case 3'!BG117</f>
        <v>303.77146816254964</v>
      </c>
      <c r="D194" s="3">
        <f>'4B Biological treatment '!T247</f>
        <v>4.6405387664142594</v>
      </c>
      <c r="E194" s="178">
        <f>'4B Biological treatment '!U247</f>
        <v>23.202693832071297</v>
      </c>
      <c r="F194" s="178">
        <f>'4B Biological treatment '!W247</f>
        <v>1.3921616299242778</v>
      </c>
      <c r="G194" s="952">
        <f>'4C2 Open-burning '!R186</f>
        <v>10.000415502259907</v>
      </c>
      <c r="H194" s="952">
        <f>'4C2 Open-burning '!Z186</f>
        <v>3.3648336500638756</v>
      </c>
      <c r="I194" s="952">
        <f>'4C2 Open-burning '!AH186</f>
        <v>4.6844163616498617E-2</v>
      </c>
      <c r="J194" s="987">
        <f>'4D Wastewater treatment and dis'!AV223</f>
        <v>237.91762085222362</v>
      </c>
      <c r="K194" s="770">
        <f>'4D Wastewater treatment and dis'!AW223</f>
        <v>3.74999451512174</v>
      </c>
      <c r="L194" s="771">
        <f t="shared" si="140"/>
        <v>6379.2008314135428</v>
      </c>
      <c r="M194" s="772">
        <f t="shared" si="131"/>
        <v>97.451314094699455</v>
      </c>
      <c r="N194" s="771">
        <f t="shared" si="132"/>
        <v>918.82667575002336</v>
      </c>
      <c r="O194" s="773">
        <f t="shared" si="133"/>
        <v>95.183612874715863</v>
      </c>
      <c r="P194" s="771">
        <f t="shared" si="134"/>
        <v>6158.7683375844354</v>
      </c>
      <c r="Q194" s="519">
        <f t="shared" si="135"/>
        <v>6379.2008314135428</v>
      </c>
      <c r="R194" s="521">
        <f t="shared" si="136"/>
        <v>1016.2779898447228</v>
      </c>
      <c r="S194" s="518">
        <f t="shared" si="137"/>
        <v>95.183612874715863</v>
      </c>
      <c r="T194" s="519">
        <f t="shared" si="138"/>
        <v>6158.7683375844354</v>
      </c>
      <c r="U194" s="519">
        <f t="shared" si="139"/>
        <v>13649.430771717416</v>
      </c>
    </row>
    <row r="195" spans="1:21">
      <c r="A195">
        <f>'Input data'!A148</f>
        <v>2048</v>
      </c>
      <c r="C195" s="314">
        <f>'4A SWD Case 3'!BG118</f>
        <v>297.16372747977567</v>
      </c>
      <c r="D195" s="3">
        <f>'4B Biological treatment '!T248</f>
        <v>4.6800744751671886</v>
      </c>
      <c r="E195" s="178">
        <f>'4B Biological treatment '!U248</f>
        <v>23.400372375835943</v>
      </c>
      <c r="F195" s="178">
        <f>'4B Biological treatment '!W248</f>
        <v>1.4040223425501566</v>
      </c>
      <c r="G195" s="952">
        <f>'4C2 Open-burning '!R187</f>
        <v>9.984878469104487</v>
      </c>
      <c r="H195" s="952">
        <f>'4C2 Open-burning '!Z187</f>
        <v>3.3596059140791361</v>
      </c>
      <c r="I195" s="952">
        <f>'4C2 Open-burning '!AH187</f>
        <v>4.6771384708153965E-2</v>
      </c>
      <c r="J195" s="987">
        <f>'4D Wastewater treatment and dis'!AV224</f>
        <v>239.13215223525594</v>
      </c>
      <c r="K195" s="770">
        <f>'4D Wastewater treatment and dis'!AW224</f>
        <v>3.769137637049826</v>
      </c>
      <c r="L195" s="771">
        <f t="shared" si="140"/>
        <v>6240.4382770752891</v>
      </c>
      <c r="M195" s="772">
        <f t="shared" si="131"/>
        <v>98.28156397851096</v>
      </c>
      <c r="N195" s="771">
        <f t="shared" si="132"/>
        <v>926.65474608310342</v>
      </c>
      <c r="O195" s="773">
        <f t="shared" si="133"/>
        <v>95.035731924294083</v>
      </c>
      <c r="P195" s="771">
        <f t="shared" si="134"/>
        <v>6190.2078644258199</v>
      </c>
      <c r="Q195" s="519">
        <f t="shared" si="135"/>
        <v>6240.4382770752891</v>
      </c>
      <c r="R195" s="521">
        <f t="shared" si="136"/>
        <v>1024.9363100616144</v>
      </c>
      <c r="S195" s="518">
        <f t="shared" si="137"/>
        <v>95.035731924294083</v>
      </c>
      <c r="T195" s="519">
        <f t="shared" si="138"/>
        <v>6190.2078644258199</v>
      </c>
      <c r="U195" s="519">
        <f t="shared" si="139"/>
        <v>13550.618183487019</v>
      </c>
    </row>
    <row r="196" spans="1:21">
      <c r="A196">
        <f>'Input data'!A149</f>
        <v>2049</v>
      </c>
      <c r="C196" s="314">
        <f>'4A SWD Case 3'!BG119</f>
        <v>290.93574054061952</v>
      </c>
      <c r="D196" s="3">
        <f>'4B Biological treatment '!T249</f>
        <v>4.7184587618448042</v>
      </c>
      <c r="E196" s="178">
        <f>'4B Biological treatment '!U249</f>
        <v>23.592293809224017</v>
      </c>
      <c r="F196" s="178">
        <f>'4B Biological treatment '!W249</f>
        <v>1.4155376285534411</v>
      </c>
      <c r="G196" s="952">
        <f>'4C2 Open-burning '!R188</f>
        <v>9.9694681839421868</v>
      </c>
      <c r="H196" s="952">
        <f>'4C2 Open-burning '!Z188</f>
        <v>3.3544208249136438</v>
      </c>
      <c r="I196" s="952">
        <f>'4C2 Open-burning '!AH188</f>
        <v>4.669919951551306E-2</v>
      </c>
      <c r="J196" s="987">
        <f>'4D Wastewater treatment and dis'!AV225</f>
        <v>240.35288360665007</v>
      </c>
      <c r="K196" s="770">
        <f>'4D Wastewater treatment and dis'!AW225</f>
        <v>3.7883784815520856</v>
      </c>
      <c r="L196" s="771">
        <f t="shared" si="140"/>
        <v>6109.6505513530101</v>
      </c>
      <c r="M196" s="772">
        <f t="shared" si="131"/>
        <v>99.087633998740884</v>
      </c>
      <c r="N196" s="771">
        <f t="shared" si="132"/>
        <v>934.25483484527115</v>
      </c>
      <c r="O196" s="773">
        <f t="shared" si="133"/>
        <v>94.889057356937755</v>
      </c>
      <c r="P196" s="771">
        <f t="shared" si="134"/>
        <v>6221.8078850207985</v>
      </c>
      <c r="Q196" s="519">
        <f t="shared" si="135"/>
        <v>6109.6505513530101</v>
      </c>
      <c r="R196" s="521">
        <f t="shared" si="136"/>
        <v>1033.342468844012</v>
      </c>
      <c r="S196" s="518">
        <f t="shared" si="137"/>
        <v>94.889057356937755</v>
      </c>
      <c r="T196" s="519">
        <f t="shared" si="138"/>
        <v>6221.8078850207985</v>
      </c>
      <c r="U196" s="519">
        <f t="shared" si="139"/>
        <v>13459.689962574757</v>
      </c>
    </row>
    <row r="197" spans="1:21">
      <c r="A197">
        <f>'Input data'!A150</f>
        <v>2050</v>
      </c>
      <c r="C197" s="314">
        <f>'4A SWD Case 3'!BG120</f>
        <v>285.06810854801211</v>
      </c>
      <c r="D197" s="3">
        <f>'4B Biological treatment '!T250</f>
        <v>4.7579971766710312</v>
      </c>
      <c r="E197" s="178">
        <f>'4B Biological treatment '!U250</f>
        <v>23.789985883355154</v>
      </c>
      <c r="F197" s="178">
        <f>'4B Biological treatment '!W250</f>
        <v>1.4273991530013093</v>
      </c>
      <c r="G197" s="952">
        <f>'4C2 Open-burning '!R189</f>
        <v>9.9541832994375596</v>
      </c>
      <c r="H197" s="952">
        <f>'4C2 Open-burning '!Z189</f>
        <v>3.3492779292302708</v>
      </c>
      <c r="I197" s="952">
        <f>'4C2 Open-burning '!AH189</f>
        <v>4.6627601727357935E-2</v>
      </c>
      <c r="J197" s="987">
        <f>'4D Wastewater treatment and dis'!AV226</f>
        <v>241.57984661635467</v>
      </c>
      <c r="K197" s="770">
        <f>'4D Wastewater treatment and dis'!AW226</f>
        <v>3.8077175474866229</v>
      </c>
      <c r="L197" s="771">
        <f t="shared" si="140"/>
        <v>5986.430279508254</v>
      </c>
      <c r="M197" s="772">
        <f t="shared" si="131"/>
        <v>99.917940710091656</v>
      </c>
      <c r="N197" s="771">
        <f t="shared" si="132"/>
        <v>942.08344098086411</v>
      </c>
      <c r="O197" s="773">
        <f t="shared" si="133"/>
        <v>94.743576348754203</v>
      </c>
      <c r="P197" s="771">
        <f t="shared" si="134"/>
        <v>6253.5692186643009</v>
      </c>
      <c r="Q197" s="471">
        <f t="shared" si="135"/>
        <v>5986.430279508254</v>
      </c>
      <c r="R197" s="517">
        <f t="shared" si="136"/>
        <v>1042.0013816909557</v>
      </c>
      <c r="S197" s="514">
        <f t="shared" si="137"/>
        <v>94.743576348754203</v>
      </c>
      <c r="T197" s="471">
        <f t="shared" si="138"/>
        <v>6253.5692186643009</v>
      </c>
      <c r="U197" s="471">
        <f t="shared" si="139"/>
        <v>13376.744456212266</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820.5169947820342</v>
      </c>
      <c r="D199" s="3">
        <f>'4B Biological treatment '!T252</f>
        <v>0.67299813826043153</v>
      </c>
      <c r="E199" s="178">
        <f>'4B Biological treatment '!U252</f>
        <v>18.624978520236688</v>
      </c>
      <c r="F199" s="178">
        <f>'4B Biological treatment '!W252</f>
        <v>1.1174987112142012</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17230.856890422718</v>
      </c>
      <c r="M199" s="772">
        <f t="shared" ref="M199:M231" si="146">D199*$B$3</f>
        <v>14.132960903469062</v>
      </c>
      <c r="N199" s="771">
        <f t="shared" ref="N199:N231" si="147">E199*$B$3+F199*$C$3</f>
        <v>737.5491494013728</v>
      </c>
      <c r="O199" s="773">
        <f t="shared" ref="O199:O231" si="148">G199+H199*$B$3+I199*$C$3</f>
        <v>313.30333811016669</v>
      </c>
      <c r="P199" s="771">
        <f t="shared" ref="P199:P231" si="149">J199*$B$3+K199*$C$3</f>
        <v>3778.1317878798554</v>
      </c>
      <c r="Q199" s="471">
        <f t="shared" si="141"/>
        <v>17230.856890422718</v>
      </c>
      <c r="R199" s="517">
        <f t="shared" si="142"/>
        <v>751.6821103048419</v>
      </c>
      <c r="S199" s="514">
        <f t="shared" si="143"/>
        <v>313.30333811016669</v>
      </c>
      <c r="T199" s="471">
        <f t="shared" si="144"/>
        <v>3778.1317878798554</v>
      </c>
      <c r="U199" s="471">
        <f t="shared" si="145"/>
        <v>22073.974126717581</v>
      </c>
    </row>
    <row r="200" spans="1:21">
      <c r="A200">
        <f>'Input data'!A119</f>
        <v>2019</v>
      </c>
      <c r="C200" s="314">
        <f>'4A SWD Case 3'!BN89</f>
        <v>801.90031185312534</v>
      </c>
      <c r="D200" s="3">
        <f>'4B Biological treatment '!T253</f>
        <v>1.2730382917711778</v>
      </c>
      <c r="E200" s="178">
        <f>'4B Biological treatment '!U253</f>
        <v>19.967485885685029</v>
      </c>
      <c r="F200" s="178">
        <f>'4B Biological treatment '!W253</f>
        <v>1.1980491531411017</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16839.906548915631</v>
      </c>
      <c r="M200" s="772">
        <f t="shared" si="146"/>
        <v>26.733804127194734</v>
      </c>
      <c r="N200" s="771">
        <f t="shared" si="147"/>
        <v>790.71244107312714</v>
      </c>
      <c r="O200" s="773">
        <f t="shared" si="148"/>
        <v>307.81392004196488</v>
      </c>
      <c r="P200" s="771">
        <f t="shared" si="149"/>
        <v>3922.0560748079342</v>
      </c>
      <c r="Q200" s="519">
        <f t="shared" si="141"/>
        <v>16839.906548915631</v>
      </c>
      <c r="R200" s="521">
        <f t="shared" si="142"/>
        <v>817.44624520032187</v>
      </c>
      <c r="S200" s="518">
        <f t="shared" si="143"/>
        <v>307.81392004196488</v>
      </c>
      <c r="T200" s="519">
        <f t="shared" si="144"/>
        <v>3922.0560748079342</v>
      </c>
      <c r="U200" s="519">
        <f t="shared" si="145"/>
        <v>21887.22278896585</v>
      </c>
    </row>
    <row r="201" spans="1:21">
      <c r="A201">
        <f>'Input data'!A120</f>
        <v>2020</v>
      </c>
      <c r="C201" s="314">
        <f>'4A SWD Case 3'!BN90</f>
        <v>781.98558841046611</v>
      </c>
      <c r="D201" s="3">
        <f>'4B Biological treatment '!T254</f>
        <v>1.8803547077905716</v>
      </c>
      <c r="E201" s="178">
        <f>'4B Biological treatment '!U254</f>
        <v>19.336988442304566</v>
      </c>
      <c r="F201" s="178">
        <f>'4B Biological treatment '!W254</f>
        <v>1.160219306538274</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16421.697356619788</v>
      </c>
      <c r="M201" s="772">
        <f t="shared" si="146"/>
        <v>39.487448863602005</v>
      </c>
      <c r="N201" s="771">
        <f t="shared" si="147"/>
        <v>765.74474231526074</v>
      </c>
      <c r="O201" s="773">
        <f t="shared" si="148"/>
        <v>299.52410113774715</v>
      </c>
      <c r="P201" s="771">
        <f t="shared" si="149"/>
        <v>4069.6472808319609</v>
      </c>
      <c r="Q201" s="519">
        <f t="shared" si="141"/>
        <v>16421.697356619788</v>
      </c>
      <c r="R201" s="521">
        <f t="shared" si="142"/>
        <v>805.23219117886276</v>
      </c>
      <c r="S201" s="518">
        <f t="shared" si="143"/>
        <v>299.52410113774715</v>
      </c>
      <c r="T201" s="519">
        <f t="shared" si="144"/>
        <v>4069.6472808319609</v>
      </c>
      <c r="U201" s="519">
        <f t="shared" si="145"/>
        <v>21596.100929768359</v>
      </c>
    </row>
    <row r="202" spans="1:21">
      <c r="A202">
        <f>'Input data'!A121</f>
        <v>2021</v>
      </c>
      <c r="C202" s="314">
        <f>'4A SWD Case 3'!BN91</f>
        <v>761.00182317238682</v>
      </c>
      <c r="D202" s="3">
        <f>'4B Biological treatment '!T255</f>
        <v>2.8996452158719284</v>
      </c>
      <c r="E202" s="178">
        <f>'4B Biological treatment '!U255</f>
        <v>20.576689668787516</v>
      </c>
      <c r="F202" s="178">
        <f>'4B Biological treatment '!W255</f>
        <v>1.2346013801272508</v>
      </c>
      <c r="G202" s="952">
        <f>'4C2 Open-burning '!R160</f>
        <v>28.931012243244801</v>
      </c>
      <c r="H202" s="952">
        <f>'4C2 Open-burning '!Z160</f>
        <v>9.7343998861328558</v>
      </c>
      <c r="I202" s="952">
        <f>'4C2 Open-burning '!AH160</f>
        <v>0.13551927625479393</v>
      </c>
      <c r="J202" s="987">
        <f>'4D Wastewater treatment and dis'!AV197</f>
        <v>155.42542691703585</v>
      </c>
      <c r="K202" s="770">
        <f>'4D Wastewater treatment and dis'!AW197</f>
        <v>3.0248585614028385</v>
      </c>
      <c r="L202" s="771">
        <f t="shared" si="150"/>
        <v>15981.038286620123</v>
      </c>
      <c r="M202" s="772">
        <f t="shared" si="146"/>
        <v>60.892549533310493</v>
      </c>
      <c r="N202" s="771">
        <f t="shared" si="147"/>
        <v>814.83691088398564</v>
      </c>
      <c r="O202" s="773">
        <f t="shared" si="148"/>
        <v>275.36438549102087</v>
      </c>
      <c r="P202" s="771">
        <f t="shared" si="149"/>
        <v>4201.6401192926323</v>
      </c>
      <c r="Q202" s="519">
        <f t="shared" si="141"/>
        <v>15981.038286620123</v>
      </c>
      <c r="R202" s="521">
        <f t="shared" si="142"/>
        <v>875.72946041729608</v>
      </c>
      <c r="S202" s="518">
        <f t="shared" si="143"/>
        <v>275.36438549102087</v>
      </c>
      <c r="T202" s="519">
        <f t="shared" si="144"/>
        <v>4201.6401192926323</v>
      </c>
      <c r="U202" s="519">
        <f t="shared" si="145"/>
        <v>21333.772251821072</v>
      </c>
    </row>
    <row r="203" spans="1:21">
      <c r="A203">
        <f>'Input data'!A122</f>
        <v>2022</v>
      </c>
      <c r="C203" s="314">
        <f>'4A SWD Case 3'!BN92</f>
        <v>735.16157160923512</v>
      </c>
      <c r="D203" s="3">
        <f>'4B Biological treatment '!T256</f>
        <v>3.8323999612990796</v>
      </c>
      <c r="E203" s="178">
        <f>'4B Biological treatment '!U256</f>
        <v>19.161999806495395</v>
      </c>
      <c r="F203" s="178">
        <f>'4B Biological treatment '!W256</f>
        <v>1.1497199883897238</v>
      </c>
      <c r="G203" s="952">
        <f>'4C2 Open-burning '!R161</f>
        <v>24.077995052126731</v>
      </c>
      <c r="H203" s="952">
        <f>'4C2 Open-burning '!Z161</f>
        <v>8.1015081782510823</v>
      </c>
      <c r="I203" s="952">
        <f>'4C2 Open-burning '!AH161</f>
        <v>0.11278666766637657</v>
      </c>
      <c r="J203" s="987">
        <f>'4D Wastewater treatment and dis'!AV198</f>
        <v>161.31571105616422</v>
      </c>
      <c r="K203" s="770">
        <f>'4D Wastewater treatment and dis'!AW198</f>
        <v>3.0596873027184164</v>
      </c>
      <c r="L203" s="771">
        <f t="shared" si="150"/>
        <v>15438.393003793937</v>
      </c>
      <c r="M203" s="772">
        <f t="shared" si="146"/>
        <v>80.480399187280668</v>
      </c>
      <c r="N203" s="771">
        <f t="shared" si="147"/>
        <v>758.8151923372177</v>
      </c>
      <c r="O203" s="773">
        <f t="shared" si="148"/>
        <v>229.17353377197622</v>
      </c>
      <c r="P203" s="771">
        <f t="shared" si="149"/>
        <v>4336.1329960221574</v>
      </c>
      <c r="Q203" s="519">
        <f t="shared" si="141"/>
        <v>15438.393003793937</v>
      </c>
      <c r="R203" s="521">
        <f t="shared" si="142"/>
        <v>839.29559152449838</v>
      </c>
      <c r="S203" s="518">
        <f t="shared" si="143"/>
        <v>229.17353377197622</v>
      </c>
      <c r="T203" s="519">
        <f t="shared" si="144"/>
        <v>4336.1329960221574</v>
      </c>
      <c r="U203" s="519">
        <f t="shared" si="145"/>
        <v>20842.995125112568</v>
      </c>
    </row>
    <row r="204" spans="1:21">
      <c r="A204">
        <f>'Input data'!A123</f>
        <v>2023</v>
      </c>
      <c r="C204" s="314">
        <f>'4A SWD Case 3'!BN93</f>
        <v>707.56261899691424</v>
      </c>
      <c r="D204" s="3">
        <f>'4B Biological treatment '!T257</f>
        <v>3.8525756322754883</v>
      </c>
      <c r="E204" s="178">
        <f>'4B Biological treatment '!U257</f>
        <v>19.26287816137744</v>
      </c>
      <c r="F204" s="178">
        <f>'4B Biological treatment '!W257</f>
        <v>1.1557726896826463</v>
      </c>
      <c r="G204" s="952">
        <f>'4C2 Open-burning '!R162</f>
        <v>22.834713354191649</v>
      </c>
      <c r="H204" s="952">
        <f>'4C2 Open-burning '!Z162</f>
        <v>7.6831819504283345</v>
      </c>
      <c r="I204" s="952">
        <f>'4C2 Open-burning '!AH162</f>
        <v>0.10696286051893278</v>
      </c>
      <c r="J204" s="987">
        <f>'4D Wastewater treatment and dis'!AV199</f>
        <v>167.32103297774702</v>
      </c>
      <c r="K204" s="770">
        <f>'4D Wastewater treatment and dis'!AW199</f>
        <v>3.0949170681470224</v>
      </c>
      <c r="L204" s="771">
        <f t="shared" si="150"/>
        <v>14858.814998935199</v>
      </c>
      <c r="M204" s="772">
        <f t="shared" si="146"/>
        <v>80.904088277785249</v>
      </c>
      <c r="N204" s="771">
        <f t="shared" si="147"/>
        <v>762.80997519054665</v>
      </c>
      <c r="O204" s="773">
        <f t="shared" si="148"/>
        <v>217.34002107405581</v>
      </c>
      <c r="P204" s="771">
        <f t="shared" si="149"/>
        <v>4473.1659836582639</v>
      </c>
      <c r="Q204" s="519">
        <f t="shared" si="141"/>
        <v>14858.814998935199</v>
      </c>
      <c r="R204" s="521">
        <f t="shared" si="142"/>
        <v>843.71406346833191</v>
      </c>
      <c r="S204" s="518">
        <f t="shared" si="143"/>
        <v>217.34002107405581</v>
      </c>
      <c r="T204" s="519">
        <f t="shared" si="144"/>
        <v>4473.1659836582639</v>
      </c>
      <c r="U204" s="519">
        <f t="shared" si="145"/>
        <v>20393.03506713585</v>
      </c>
    </row>
    <row r="205" spans="1:21">
      <c r="A205">
        <f>'Input data'!A124</f>
        <v>2024</v>
      </c>
      <c r="C205" s="314">
        <f>'4A SWD Case 3'!BN94</f>
        <v>681.08841347080261</v>
      </c>
      <c r="D205" s="3">
        <f>'4B Biological treatment '!T258</f>
        <v>3.8742494318765743</v>
      </c>
      <c r="E205" s="178">
        <f>'4B Biological treatment '!U258</f>
        <v>19.371247159382868</v>
      </c>
      <c r="F205" s="178">
        <f>'4B Biological treatment '!W258</f>
        <v>1.1622748295629721</v>
      </c>
      <c r="G205" s="952">
        <f>'4C2 Open-burning '!R163</f>
        <v>21.570135720604139</v>
      </c>
      <c r="H205" s="952">
        <f>'4C2 Open-burning '!Z163</f>
        <v>7.2576902922415494</v>
      </c>
      <c r="I205" s="952">
        <f>'4C2 Open-burning '!AH163</f>
        <v>0.10103929848692009</v>
      </c>
      <c r="J205" s="987">
        <f>'4D Wastewater treatment and dis'!AV200</f>
        <v>173.44326090016418</v>
      </c>
      <c r="K205" s="770">
        <f>'4D Wastewater treatment and dis'!AW200</f>
        <v>3.1305524751492158</v>
      </c>
      <c r="L205" s="771">
        <f t="shared" si="150"/>
        <v>14302.856682886855</v>
      </c>
      <c r="M205" s="772">
        <f t="shared" si="146"/>
        <v>81.359238069408065</v>
      </c>
      <c r="N205" s="771">
        <f t="shared" si="147"/>
        <v>767.1013875115616</v>
      </c>
      <c r="O205" s="773">
        <f t="shared" si="148"/>
        <v>205.3038143886219</v>
      </c>
      <c r="P205" s="771">
        <f t="shared" si="149"/>
        <v>4612.7797461997052</v>
      </c>
      <c r="Q205" s="519">
        <f t="shared" si="141"/>
        <v>14302.856682886855</v>
      </c>
      <c r="R205" s="521">
        <f t="shared" si="142"/>
        <v>848.46062558096969</v>
      </c>
      <c r="S205" s="518">
        <f t="shared" si="143"/>
        <v>205.3038143886219</v>
      </c>
      <c r="T205" s="519">
        <f t="shared" si="144"/>
        <v>4612.7797461997052</v>
      </c>
      <c r="U205" s="519">
        <f t="shared" si="145"/>
        <v>19969.400869056153</v>
      </c>
    </row>
    <row r="206" spans="1:21">
      <c r="A206">
        <f>'Input data'!A125</f>
        <v>2025</v>
      </c>
      <c r="C206" s="314">
        <f>'4A SWD Case 3'!BN95</f>
        <v>655.65803177862301</v>
      </c>
      <c r="D206" s="3">
        <f>'4B Biological treatment '!T259</f>
        <v>3.8933199259140965</v>
      </c>
      <c r="E206" s="178">
        <f>'4B Biological treatment '!U259</f>
        <v>19.466599629570482</v>
      </c>
      <c r="F206" s="178">
        <f>'4B Biological treatment '!W259</f>
        <v>1.1679959777742288</v>
      </c>
      <c r="G206" s="952">
        <f>'4C2 Open-burning '!R164</f>
        <v>20.283486456074922</v>
      </c>
      <c r="H206" s="952">
        <f>'4C2 Open-burning '!Z164</f>
        <v>6.8247722059740834</v>
      </c>
      <c r="I206" s="952">
        <f>'4C2 Open-burning '!AH164</f>
        <v>9.5012348041607686E-2</v>
      </c>
      <c r="J206" s="987">
        <f>'4D Wastewater treatment and dis'!AV201</f>
        <v>179.68429081250378</v>
      </c>
      <c r="K206" s="770">
        <f>'4D Wastewater treatment and dis'!AW201</f>
        <v>3.166598194351784</v>
      </c>
      <c r="L206" s="771">
        <f t="shared" si="150"/>
        <v>13768.818667351083</v>
      </c>
      <c r="M206" s="772">
        <f t="shared" si="146"/>
        <v>81.759718444196025</v>
      </c>
      <c r="N206" s="771">
        <f t="shared" si="147"/>
        <v>770.87734533099115</v>
      </c>
      <c r="O206" s="773">
        <f t="shared" si="148"/>
        <v>193.05753067442905</v>
      </c>
      <c r="P206" s="771">
        <f t="shared" si="149"/>
        <v>4755.015547311632</v>
      </c>
      <c r="Q206" s="519">
        <f t="shared" si="141"/>
        <v>13768.818667351083</v>
      </c>
      <c r="R206" s="521">
        <f t="shared" si="142"/>
        <v>852.63706377518713</v>
      </c>
      <c r="S206" s="518">
        <f t="shared" si="143"/>
        <v>193.05753067442905</v>
      </c>
      <c r="T206" s="519">
        <f t="shared" si="144"/>
        <v>4755.015547311632</v>
      </c>
      <c r="U206" s="519">
        <f t="shared" si="145"/>
        <v>19569.528809112329</v>
      </c>
    </row>
    <row r="207" spans="1:21">
      <c r="A207">
        <f>'Input data'!A126</f>
        <v>2026</v>
      </c>
      <c r="C207" s="314">
        <f>'4A SWD Case 3'!BN96</f>
        <v>631.19402362310382</v>
      </c>
      <c r="D207" s="3">
        <f>'4B Biological treatment '!T260</f>
        <v>3.9108465098249674</v>
      </c>
      <c r="E207" s="178">
        <f>'4B Biological treatment '!U260</f>
        <v>19.554232549124833</v>
      </c>
      <c r="F207" s="178">
        <f>'4B Biological treatment '!W260</f>
        <v>1.1732539529474901</v>
      </c>
      <c r="G207" s="952">
        <f>'4C2 Open-burning '!R165</f>
        <v>18.985188117273655</v>
      </c>
      <c r="H207" s="952">
        <f>'4C2 Open-burning '!Z165</f>
        <v>6.3879345628548228</v>
      </c>
      <c r="I207" s="952">
        <f>'4C2 Open-burning '!AH165</f>
        <v>8.8930830749442052E-2</v>
      </c>
      <c r="J207" s="987">
        <f>'4D Wastewater treatment and dis'!AV202</f>
        <v>185.73930530907452</v>
      </c>
      <c r="K207" s="770">
        <f>'4D Wastewater treatment and dis'!AW202</f>
        <v>3.1977779387807019</v>
      </c>
      <c r="L207" s="771">
        <f t="shared" si="150"/>
        <v>13255.074496085181</v>
      </c>
      <c r="M207" s="772">
        <f t="shared" si="146"/>
        <v>82.127776706324312</v>
      </c>
      <c r="N207" s="771">
        <f t="shared" si="147"/>
        <v>774.34760894534338</v>
      </c>
      <c r="O207" s="773">
        <f t="shared" si="148"/>
        <v>180.70037146955198</v>
      </c>
      <c r="P207" s="771">
        <f t="shared" si="149"/>
        <v>4891.8365725125823</v>
      </c>
      <c r="Q207" s="519">
        <f t="shared" si="141"/>
        <v>13255.074496085181</v>
      </c>
      <c r="R207" s="521">
        <f t="shared" si="142"/>
        <v>856.47538565166769</v>
      </c>
      <c r="S207" s="518">
        <f t="shared" si="143"/>
        <v>180.70037146955198</v>
      </c>
      <c r="T207" s="519">
        <f t="shared" si="144"/>
        <v>4891.8365725125823</v>
      </c>
      <c r="U207" s="519">
        <f t="shared" si="145"/>
        <v>19184.08682571898</v>
      </c>
    </row>
    <row r="208" spans="1:21">
      <c r="A208">
        <f>'Input data'!A127</f>
        <v>2027</v>
      </c>
      <c r="C208" s="314">
        <f>'4A SWD Case 3'!BN97</f>
        <v>607.6184279290585</v>
      </c>
      <c r="D208" s="3">
        <f>'4B Biological treatment '!T261</f>
        <v>3.9269596540327507</v>
      </c>
      <c r="E208" s="178">
        <f>'4B Biological treatment '!U261</f>
        <v>19.634798270163749</v>
      </c>
      <c r="F208" s="178">
        <f>'4B Biological treatment '!W261</f>
        <v>1.1780878962098251</v>
      </c>
      <c r="G208" s="952">
        <f>'4C2 Open-burning '!R166</f>
        <v>17.661577035208051</v>
      </c>
      <c r="H208" s="952">
        <f>'4C2 Open-burning '!Z166</f>
        <v>5.9425799565861794</v>
      </c>
      <c r="I208" s="952">
        <f>'4C2 Open-burning '!AH166</f>
        <v>8.2730742955201886E-2</v>
      </c>
      <c r="J208" s="987">
        <f>'4D Wastewater treatment and dis'!AV203</f>
        <v>191.89613972825521</v>
      </c>
      <c r="K208" s="770">
        <f>'4D Wastewater treatment and dis'!AW203</f>
        <v>3.2292646929415123</v>
      </c>
      <c r="L208" s="771">
        <f t="shared" si="150"/>
        <v>12759.986986510228</v>
      </c>
      <c r="M208" s="772">
        <f t="shared" si="146"/>
        <v>82.466152734687768</v>
      </c>
      <c r="N208" s="771">
        <f t="shared" si="147"/>
        <v>777.53801149848459</v>
      </c>
      <c r="O208" s="773">
        <f t="shared" si="148"/>
        <v>168.10228643963038</v>
      </c>
      <c r="P208" s="771">
        <f t="shared" si="149"/>
        <v>5030.8909891052281</v>
      </c>
      <c r="Q208" s="519">
        <f t="shared" si="141"/>
        <v>12759.986986510228</v>
      </c>
      <c r="R208" s="521">
        <f t="shared" si="142"/>
        <v>860.00416423317233</v>
      </c>
      <c r="S208" s="518">
        <f t="shared" si="143"/>
        <v>168.10228643963038</v>
      </c>
      <c r="T208" s="519">
        <f t="shared" si="144"/>
        <v>5030.8909891052281</v>
      </c>
      <c r="U208" s="519">
        <f t="shared" si="145"/>
        <v>18818.984426288262</v>
      </c>
    </row>
    <row r="209" spans="1:21">
      <c r="A209">
        <f>'Input data'!A128</f>
        <v>2028</v>
      </c>
      <c r="C209" s="314">
        <f>'4A SWD Case 3'!BN98</f>
        <v>584.86069722532284</v>
      </c>
      <c r="D209" s="3">
        <f>'4B Biological treatment '!T262</f>
        <v>3.9456195100733291</v>
      </c>
      <c r="E209" s="178">
        <f>'4B Biological treatment '!U262</f>
        <v>19.728097550366645</v>
      </c>
      <c r="F209" s="178">
        <f>'4B Biological treatment '!W262</f>
        <v>1.1836858530219987</v>
      </c>
      <c r="G209" s="952">
        <f>'4C2 Open-burning '!R167</f>
        <v>16.311739327952854</v>
      </c>
      <c r="H209" s="952">
        <f>'4C2 Open-burning '!Z167</f>
        <v>5.48840089387914</v>
      </c>
      <c r="I209" s="952">
        <f>'4C2 Open-burning '!AH167</f>
        <v>7.6407803833313151E-2</v>
      </c>
      <c r="J209" s="987">
        <f>'4D Wastewater treatment and dis'!AV204</f>
        <v>198.15621215016739</v>
      </c>
      <c r="K209" s="770">
        <f>'4D Wastewater treatment and dis'!AW204</f>
        <v>3.2610614797895683</v>
      </c>
      <c r="L209" s="771">
        <f t="shared" si="150"/>
        <v>12282.074641731779</v>
      </c>
      <c r="M209" s="772">
        <f t="shared" si="146"/>
        <v>82.858009711539907</v>
      </c>
      <c r="N209" s="771">
        <f t="shared" si="147"/>
        <v>781.23266299451916</v>
      </c>
      <c r="O209" s="773">
        <f t="shared" si="148"/>
        <v>155.25457728774188</v>
      </c>
      <c r="P209" s="771">
        <f t="shared" si="149"/>
        <v>5172.2095138882814</v>
      </c>
      <c r="Q209" s="519">
        <f t="shared" si="141"/>
        <v>12282.074641731779</v>
      </c>
      <c r="R209" s="521">
        <f t="shared" si="142"/>
        <v>864.09067270605908</v>
      </c>
      <c r="S209" s="518">
        <f t="shared" si="143"/>
        <v>155.25457728774188</v>
      </c>
      <c r="T209" s="519">
        <f t="shared" si="144"/>
        <v>5172.2095138882814</v>
      </c>
      <c r="U209" s="519">
        <f t="shared" si="145"/>
        <v>18473.629405613861</v>
      </c>
    </row>
    <row r="210" spans="1:21">
      <c r="A210">
        <f>'Input data'!A129</f>
        <v>2029</v>
      </c>
      <c r="C210" s="314">
        <f>'4A SWD Case 3'!BN99</f>
        <v>562.85322239404525</v>
      </c>
      <c r="D210" s="3">
        <f>'4B Biological treatment '!T263</f>
        <v>3.9694106184835447</v>
      </c>
      <c r="E210" s="178">
        <f>'4B Biological treatment '!U263</f>
        <v>19.84705309241772</v>
      </c>
      <c r="F210" s="178">
        <f>'4B Biological treatment '!W263</f>
        <v>1.1908231855450633</v>
      </c>
      <c r="G210" s="952">
        <f>'4C2 Open-burning '!R168</f>
        <v>14.93472003386634</v>
      </c>
      <c r="H210" s="952">
        <f>'4C2 Open-burning '!Z168</f>
        <v>5.0250760593777697</v>
      </c>
      <c r="I210" s="952">
        <f>'4C2 Open-burning '!AH168</f>
        <v>6.9957540131701218E-2</v>
      </c>
      <c r="J210" s="987">
        <f>'4D Wastewater treatment and dis'!AV205</f>
        <v>204.52095870933701</v>
      </c>
      <c r="K210" s="770">
        <f>'4D Wastewater treatment and dis'!AW205</f>
        <v>3.2931713520456056</v>
      </c>
      <c r="L210" s="771">
        <f t="shared" si="150"/>
        <v>11819.91767027495</v>
      </c>
      <c r="M210" s="772">
        <f t="shared" si="146"/>
        <v>83.357622988154432</v>
      </c>
      <c r="N210" s="771">
        <f t="shared" si="147"/>
        <v>785.94330245974174</v>
      </c>
      <c r="O210" s="773">
        <f t="shared" si="148"/>
        <v>142.1481547216269</v>
      </c>
      <c r="P210" s="771">
        <f t="shared" si="149"/>
        <v>5315.8232520302154</v>
      </c>
      <c r="Q210" s="519">
        <f t="shared" si="141"/>
        <v>11819.91767027495</v>
      </c>
      <c r="R210" s="521">
        <f t="shared" si="142"/>
        <v>869.30092544789613</v>
      </c>
      <c r="S210" s="518">
        <f t="shared" si="143"/>
        <v>142.1481547216269</v>
      </c>
      <c r="T210" s="519">
        <f t="shared" si="144"/>
        <v>5315.8232520302154</v>
      </c>
      <c r="U210" s="519">
        <f t="shared" si="145"/>
        <v>18147.190002474686</v>
      </c>
    </row>
    <row r="211" spans="1:21">
      <c r="A211">
        <f>'Input data'!A130</f>
        <v>2030</v>
      </c>
      <c r="C211" s="314">
        <f>'4A SWD Case 3'!BN100</f>
        <v>541.53117078804519</v>
      </c>
      <c r="D211" s="3">
        <f>'4B Biological treatment '!T264</f>
        <v>3.9903512505633274</v>
      </c>
      <c r="E211" s="178">
        <f>'4B Biological treatment '!U264</f>
        <v>19.951756252816637</v>
      </c>
      <c r="F211" s="178">
        <f>'4B Biological treatment '!W264</f>
        <v>1.1971053751689982</v>
      </c>
      <c r="G211" s="952">
        <f>'4C2 Open-burning '!R169</f>
        <v>13.529520713203713</v>
      </c>
      <c r="H211" s="952">
        <f>'4C2 Open-burning '!Z169</f>
        <v>4.5522695086755505</v>
      </c>
      <c r="I211" s="952">
        <f>'4C2 Open-burning '!AH169</f>
        <v>6.3375274937216314E-2</v>
      </c>
      <c r="J211" s="987">
        <f>'4D Wastewater treatment and dis'!AV206</f>
        <v>210.99183381275145</v>
      </c>
      <c r="K211" s="770">
        <f>'4D Wastewater treatment and dis'!AW206</f>
        <v>3.3255973924888065</v>
      </c>
      <c r="L211" s="771">
        <f t="shared" si="150"/>
        <v>11372.15458654895</v>
      </c>
      <c r="M211" s="772">
        <f t="shared" si="146"/>
        <v>83.797376261829882</v>
      </c>
      <c r="N211" s="771">
        <f t="shared" si="147"/>
        <v>790.08954761153882</v>
      </c>
      <c r="O211" s="773">
        <f t="shared" si="148"/>
        <v>128.77351562592733</v>
      </c>
      <c r="P211" s="771">
        <f t="shared" si="149"/>
        <v>5461.7637017393099</v>
      </c>
      <c r="Q211" s="519">
        <f t="shared" si="141"/>
        <v>11372.15458654895</v>
      </c>
      <c r="R211" s="521">
        <f t="shared" si="142"/>
        <v>873.88692387336869</v>
      </c>
      <c r="S211" s="518">
        <f t="shared" si="143"/>
        <v>128.77351562592733</v>
      </c>
      <c r="T211" s="519">
        <f t="shared" si="144"/>
        <v>5461.7637017393099</v>
      </c>
      <c r="U211" s="519">
        <f t="shared" si="145"/>
        <v>17836.578727787557</v>
      </c>
    </row>
    <row r="212" spans="1:21">
      <c r="A212">
        <f>'Input data'!A131</f>
        <v>2031</v>
      </c>
      <c r="C212" s="314">
        <f>'4A SWD Case 3'!BN101</f>
        <v>520.8323310589933</v>
      </c>
      <c r="D212" s="3">
        <f>'4B Biological treatment '!T265</f>
        <v>3.9767383053805325</v>
      </c>
      <c r="E212" s="178">
        <f>'4B Biological treatment '!U265</f>
        <v>19.883691526902659</v>
      </c>
      <c r="F212" s="178">
        <f>'4B Biological treatment '!W265</f>
        <v>1.1930214916141597</v>
      </c>
      <c r="G212" s="952">
        <f>'4C2 Open-burning '!R170</f>
        <v>11.932120220532866</v>
      </c>
      <c r="H212" s="952">
        <f>'4C2 Open-burning '!Z170</f>
        <v>4.014793147903057</v>
      </c>
      <c r="I212" s="952">
        <f>'4C2 Open-burning '!AH170</f>
        <v>5.5892696836052552E-2</v>
      </c>
      <c r="J212" s="987">
        <f>'4D Wastewater treatment and dis'!AV207</f>
        <v>212.79249544373798</v>
      </c>
      <c r="K212" s="770">
        <f>'4D Wastewater treatment and dis'!AW207</f>
        <v>3.3539789441183268</v>
      </c>
      <c r="L212" s="771">
        <f t="shared" si="150"/>
        <v>10937.47895223886</v>
      </c>
      <c r="M212" s="772">
        <f t="shared" si="146"/>
        <v>83.511504412991187</v>
      </c>
      <c r="N212" s="771">
        <f t="shared" si="147"/>
        <v>787.39418446534535</v>
      </c>
      <c r="O212" s="773">
        <f t="shared" si="148"/>
        <v>113.56951234567336</v>
      </c>
      <c r="P212" s="771">
        <f t="shared" si="149"/>
        <v>5508.3758769951792</v>
      </c>
      <c r="Q212" s="519">
        <f t="shared" si="141"/>
        <v>10937.47895223886</v>
      </c>
      <c r="R212" s="521">
        <f t="shared" si="142"/>
        <v>870.90568887833649</v>
      </c>
      <c r="S212" s="518">
        <f t="shared" si="143"/>
        <v>113.56951234567336</v>
      </c>
      <c r="T212" s="519">
        <f t="shared" si="144"/>
        <v>5508.3758769951792</v>
      </c>
      <c r="U212" s="519">
        <f t="shared" si="145"/>
        <v>17430.330030458048</v>
      </c>
    </row>
    <row r="213" spans="1:21">
      <c r="A213">
        <f>'Input data'!A132</f>
        <v>2032</v>
      </c>
      <c r="C213" s="314">
        <f>'4A SWD Case 3'!BN102</f>
        <v>500.57139447025344</v>
      </c>
      <c r="D213" s="3">
        <f>'4B Biological treatment '!T266</f>
        <v>4.0145053111841333</v>
      </c>
      <c r="E213" s="178">
        <f>'4B Biological treatment '!U266</f>
        <v>20.072526555920664</v>
      </c>
      <c r="F213" s="178">
        <f>'4B Biological treatment '!W266</f>
        <v>1.20435159335524</v>
      </c>
      <c r="G213" s="952">
        <f>'4C2 Open-burning '!R171</f>
        <v>10.344645425665796</v>
      </c>
      <c r="H213" s="952">
        <f>'4C2 Open-burning '!Z171</f>
        <v>3.4806564805625984</v>
      </c>
      <c r="I213" s="952">
        <f>'4C2 Open-burning '!AH171</f>
        <v>4.8456612904238333E-2</v>
      </c>
      <c r="J213" s="987">
        <f>'4D Wastewater treatment and dis'!AV208</f>
        <v>214.60852441027842</v>
      </c>
      <c r="K213" s="770">
        <f>'4D Wastewater treatment and dis'!AW208</f>
        <v>3.3826027116200144</v>
      </c>
      <c r="L213" s="771">
        <f t="shared" si="150"/>
        <v>10511.999283875322</v>
      </c>
      <c r="M213" s="772">
        <f t="shared" si="146"/>
        <v>84.304611534866794</v>
      </c>
      <c r="N213" s="771">
        <f t="shared" si="147"/>
        <v>794.87205161445831</v>
      </c>
      <c r="O213" s="773">
        <f t="shared" si="148"/>
        <v>98.459981517794233</v>
      </c>
      <c r="P213" s="771">
        <f t="shared" si="149"/>
        <v>5555.3858532180511</v>
      </c>
      <c r="Q213" s="519">
        <f t="shared" si="141"/>
        <v>10511.999283875322</v>
      </c>
      <c r="R213" s="521">
        <f t="shared" si="142"/>
        <v>879.17666314932512</v>
      </c>
      <c r="S213" s="518">
        <f t="shared" si="143"/>
        <v>98.459981517794233</v>
      </c>
      <c r="T213" s="519">
        <f t="shared" si="144"/>
        <v>5555.3858532180511</v>
      </c>
      <c r="U213" s="519">
        <f t="shared" si="145"/>
        <v>17045.021781760493</v>
      </c>
    </row>
    <row r="214" spans="1:21">
      <c r="A214">
        <f>'Input data'!A133</f>
        <v>2033</v>
      </c>
      <c r="C214" s="314">
        <f>'4A SWD Case 3'!BN103</f>
        <v>480.7247025295203</v>
      </c>
      <c r="D214" s="3">
        <f>'4B Biological treatment '!T267</f>
        <v>4.0510255073947317</v>
      </c>
      <c r="E214" s="178">
        <f>'4B Biological treatment '!U267</f>
        <v>20.255127536973653</v>
      </c>
      <c r="F214" s="178">
        <f>'4B Biological treatment '!W267</f>
        <v>1.2153076522184192</v>
      </c>
      <c r="G214" s="952">
        <f>'4C2 Open-burning '!R172</f>
        <v>10.313981067569168</v>
      </c>
      <c r="H214" s="952">
        <f>'4C2 Open-burning '!Z172</f>
        <v>3.4703388628638314</v>
      </c>
      <c r="I214" s="952">
        <f>'4C2 Open-burning '!AH172</f>
        <v>4.8312974251669485E-2</v>
      </c>
      <c r="J214" s="987">
        <f>'4D Wastewater treatment and dis'!AV209</f>
        <v>216.44005186138909</v>
      </c>
      <c r="K214" s="770">
        <f>'4D Wastewater treatment and dis'!AW209</f>
        <v>3.4114707621299263</v>
      </c>
      <c r="L214" s="771">
        <f t="shared" si="150"/>
        <v>10095.218753119927</v>
      </c>
      <c r="M214" s="772">
        <f t="shared" si="146"/>
        <v>85.071535655289367</v>
      </c>
      <c r="N214" s="771">
        <f t="shared" si="147"/>
        <v>802.10305046415669</v>
      </c>
      <c r="O214" s="773">
        <f t="shared" si="148"/>
        <v>98.168119205727166</v>
      </c>
      <c r="P214" s="771">
        <f t="shared" si="149"/>
        <v>5602.7970253494477</v>
      </c>
      <c r="Q214" s="519">
        <f t="shared" si="141"/>
        <v>10095.218753119927</v>
      </c>
      <c r="R214" s="521">
        <f t="shared" si="142"/>
        <v>887.17458611944608</v>
      </c>
      <c r="S214" s="518">
        <f t="shared" si="143"/>
        <v>98.168119205727166</v>
      </c>
      <c r="T214" s="519">
        <f t="shared" si="144"/>
        <v>5602.7970253494477</v>
      </c>
      <c r="U214" s="519">
        <f t="shared" si="145"/>
        <v>16683.358483794549</v>
      </c>
    </row>
    <row r="215" spans="1:21">
      <c r="A215">
        <f>'Input data'!A134</f>
        <v>2034</v>
      </c>
      <c r="C215" s="314">
        <f>'4A SWD Case 3'!BN104</f>
        <v>461.85753506901801</v>
      </c>
      <c r="D215" s="3">
        <f>'4B Biological treatment '!T268</f>
        <v>4.0959341023994931</v>
      </c>
      <c r="E215" s="178">
        <f>'4B Biological treatment '!U268</f>
        <v>20.479670511997465</v>
      </c>
      <c r="F215" s="178">
        <f>'4B Biological treatment '!W268</f>
        <v>1.2287802307198479</v>
      </c>
      <c r="G215" s="952">
        <f>'4C2 Open-burning '!R173</f>
        <v>10.283755160967955</v>
      </c>
      <c r="H215" s="952">
        <f>'4C2 Open-burning '!Z173</f>
        <v>3.4601687706699158</v>
      </c>
      <c r="I215" s="952">
        <f>'4C2 Open-burning '!AH173</f>
        <v>4.8171389403123509E-2</v>
      </c>
      <c r="J215" s="987">
        <f>'4D Wastewater treatment and dis'!AV210</f>
        <v>218.28721006534801</v>
      </c>
      <c r="K215" s="770">
        <f>'4D Wastewater treatment and dis'!AW210</f>
        <v>3.4405851804256198</v>
      </c>
      <c r="L215" s="771">
        <f t="shared" si="150"/>
        <v>9699.0082364493792</v>
      </c>
      <c r="M215" s="772">
        <f t="shared" si="146"/>
        <v>86.014616150389358</v>
      </c>
      <c r="N215" s="771">
        <f t="shared" si="147"/>
        <v>810.99495227509965</v>
      </c>
      <c r="O215" s="773">
        <f t="shared" si="148"/>
        <v>97.880430060004471</v>
      </c>
      <c r="P215" s="771">
        <f t="shared" si="149"/>
        <v>5650.6128173042498</v>
      </c>
      <c r="Q215" s="519">
        <f t="shared" si="141"/>
        <v>9699.0082364493792</v>
      </c>
      <c r="R215" s="521">
        <f t="shared" si="142"/>
        <v>897.00956842548896</v>
      </c>
      <c r="S215" s="518">
        <f t="shared" si="143"/>
        <v>97.880430060004471</v>
      </c>
      <c r="T215" s="519">
        <f t="shared" si="144"/>
        <v>5650.6128173042498</v>
      </c>
      <c r="U215" s="519">
        <f t="shared" si="145"/>
        <v>16344.511052239122</v>
      </c>
    </row>
    <row r="216" spans="1:21">
      <c r="A216">
        <f>'Input data'!A135</f>
        <v>2035</v>
      </c>
      <c r="C216" s="314">
        <f>'4A SWD Case 3'!BN105</f>
        <v>443.92213625215533</v>
      </c>
      <c r="D216" s="3">
        <f>'4B Biological treatment '!T269</f>
        <v>4.1340449842336602</v>
      </c>
      <c r="E216" s="178">
        <f>'4B Biological treatment '!U269</f>
        <v>20.670224921168298</v>
      </c>
      <c r="F216" s="178">
        <f>'4B Biological treatment '!W269</f>
        <v>1.2402134952700981</v>
      </c>
      <c r="G216" s="952">
        <f>'4C2 Open-burning '!R174</f>
        <v>10.253959437125518</v>
      </c>
      <c r="H216" s="952">
        <f>'4C2 Open-burning '!Z174</f>
        <v>3.450143421804122</v>
      </c>
      <c r="I216" s="952">
        <f>'4C2 Open-burning '!AH174</f>
        <v>4.8031819626004571E-2</v>
      </c>
      <c r="J216" s="987">
        <f>'4D Wastewater treatment and dis'!AV211</f>
        <v>220.15013241924632</v>
      </c>
      <c r="K216" s="770">
        <f>'4D Wastewater treatment and dis'!AW211</f>
        <v>3.4699480690767106</v>
      </c>
      <c r="L216" s="771">
        <f t="shared" si="150"/>
        <v>9322.364861295262</v>
      </c>
      <c r="M216" s="772">
        <f t="shared" si="146"/>
        <v>86.814944668906861</v>
      </c>
      <c r="N216" s="771">
        <f t="shared" si="147"/>
        <v>818.54090687826465</v>
      </c>
      <c r="O216" s="773">
        <f t="shared" si="148"/>
        <v>97.596835379073497</v>
      </c>
      <c r="P216" s="771">
        <f t="shared" si="149"/>
        <v>5698.8366822179532</v>
      </c>
      <c r="Q216" s="519">
        <f t="shared" si="141"/>
        <v>9322.364861295262</v>
      </c>
      <c r="R216" s="521">
        <f t="shared" si="142"/>
        <v>905.35585154717148</v>
      </c>
      <c r="S216" s="518">
        <f t="shared" si="143"/>
        <v>97.596835379073497</v>
      </c>
      <c r="T216" s="519">
        <f t="shared" si="144"/>
        <v>5698.8366822179532</v>
      </c>
      <c r="U216" s="519">
        <f t="shared" si="145"/>
        <v>16024.154230439461</v>
      </c>
    </row>
    <row r="217" spans="1:21">
      <c r="A217">
        <f>'Input data'!A136</f>
        <v>2036</v>
      </c>
      <c r="C217" s="314">
        <f>'4A SWD Case 3'!BN106</f>
        <v>426.87307722540243</v>
      </c>
      <c r="D217" s="3">
        <f>'4B Biological treatment '!T270</f>
        <v>4.1719263139490446</v>
      </c>
      <c r="E217" s="178">
        <f>'4B Biological treatment '!U270</f>
        <v>20.859631569745222</v>
      </c>
      <c r="F217" s="178">
        <f>'4B Biological treatment '!W270</f>
        <v>1.2515778941847133</v>
      </c>
      <c r="G217" s="952">
        <f>'4C2 Open-burning '!R175</f>
        <v>10.228720631598184</v>
      </c>
      <c r="H217" s="952">
        <f>'4C2 Open-burning '!Z175</f>
        <v>3.4416513364396093</v>
      </c>
      <c r="I217" s="952">
        <f>'4C2 Open-burning '!AH175</f>
        <v>4.7913595464684461E-2</v>
      </c>
      <c r="J217" s="987">
        <f>'4D Wastewater treatment and dis'!AV212</f>
        <v>221.76188597912451</v>
      </c>
      <c r="K217" s="770">
        <f>'4D Wastewater treatment and dis'!AW212</f>
        <v>3.4953521017314642</v>
      </c>
      <c r="L217" s="771">
        <f t="shared" si="150"/>
        <v>8964.3346217334511</v>
      </c>
      <c r="M217" s="772">
        <f t="shared" si="146"/>
        <v>87.610452592929931</v>
      </c>
      <c r="N217" s="771">
        <f t="shared" si="147"/>
        <v>826.04141016191079</v>
      </c>
      <c r="O217" s="773">
        <f t="shared" si="148"/>
        <v>97.356613290882166</v>
      </c>
      <c r="P217" s="771">
        <f t="shared" si="149"/>
        <v>5740.5587570983689</v>
      </c>
      <c r="Q217" s="519">
        <f t="shared" si="141"/>
        <v>8964.3346217334511</v>
      </c>
      <c r="R217" s="521">
        <f t="shared" si="142"/>
        <v>913.65186275484075</v>
      </c>
      <c r="S217" s="518">
        <f t="shared" si="143"/>
        <v>97.356613290882166</v>
      </c>
      <c r="T217" s="519">
        <f t="shared" si="144"/>
        <v>5740.5587570983689</v>
      </c>
      <c r="U217" s="519">
        <f t="shared" si="145"/>
        <v>15715.901854877542</v>
      </c>
    </row>
    <row r="218" spans="1:21">
      <c r="A218">
        <f>'Input data'!A137</f>
        <v>2037</v>
      </c>
      <c r="C218" s="314">
        <f>'4A SWD Case 3'!BN107</f>
        <v>410.665211060339</v>
      </c>
      <c r="D218" s="3">
        <f>'4B Biological treatment '!T271</f>
        <v>4.2131142117436333</v>
      </c>
      <c r="E218" s="178">
        <f>'4B Biological treatment '!U271</f>
        <v>21.065571058718163</v>
      </c>
      <c r="F218" s="178">
        <f>'4B Biological treatment '!W271</f>
        <v>1.2639342635230899</v>
      </c>
      <c r="G218" s="952">
        <f>'4C2 Open-burning '!R176</f>
        <v>10.203787853753196</v>
      </c>
      <c r="H218" s="952">
        <f>'4C2 Open-burning '!Z176</f>
        <v>3.4332622200210539</v>
      </c>
      <c r="I218" s="952">
        <f>'4C2 Open-burning '!AH176</f>
        <v>4.7796804804884317E-2</v>
      </c>
      <c r="J218" s="987">
        <f>'4D Wastewater treatment and dis'!AV213</f>
        <v>223.38543943895829</v>
      </c>
      <c r="K218" s="770">
        <f>'4D Wastewater treatment and dis'!AW213</f>
        <v>3.5209421212835057</v>
      </c>
      <c r="L218" s="771">
        <f t="shared" si="150"/>
        <v>8623.9694322671185</v>
      </c>
      <c r="M218" s="772">
        <f t="shared" si="146"/>
        <v>88.475398446616296</v>
      </c>
      <c r="N218" s="771">
        <f t="shared" si="147"/>
        <v>834.19661392523926</v>
      </c>
      <c r="O218" s="773">
        <f t="shared" si="148"/>
        <v>97.11930396370947</v>
      </c>
      <c r="P218" s="771">
        <f t="shared" si="149"/>
        <v>5782.5862858160108</v>
      </c>
      <c r="Q218" s="519">
        <f t="shared" si="141"/>
        <v>8623.9694322671185</v>
      </c>
      <c r="R218" s="521">
        <f t="shared" si="142"/>
        <v>922.67201237185554</v>
      </c>
      <c r="S218" s="518">
        <f t="shared" si="143"/>
        <v>97.11930396370947</v>
      </c>
      <c r="T218" s="519">
        <f t="shared" si="144"/>
        <v>5782.5862858160108</v>
      </c>
      <c r="U218" s="519">
        <f t="shared" si="145"/>
        <v>15426.347034418694</v>
      </c>
    </row>
    <row r="219" spans="1:21">
      <c r="A219">
        <f>'Input data'!A138</f>
        <v>2038</v>
      </c>
      <c r="C219" s="314">
        <f>'4A SWD Case 3'!BN108</f>
        <v>395.45452402287066</v>
      </c>
      <c r="D219" s="3">
        <f>'4B Biological treatment '!T272</f>
        <v>4.2530833642705108</v>
      </c>
      <c r="E219" s="178">
        <f>'4B Biological treatment '!U272</f>
        <v>21.265416821352552</v>
      </c>
      <c r="F219" s="178">
        <f>'4B Biological treatment '!W272</f>
        <v>1.2759250092811532</v>
      </c>
      <c r="G219" s="952">
        <f>'4C2 Open-burning '!R177</f>
        <v>10.179156222495859</v>
      </c>
      <c r="H219" s="952">
        <f>'4C2 Open-burning '!Z177</f>
        <v>3.4249744302095286</v>
      </c>
      <c r="I219" s="952">
        <f>'4C2 Open-burning '!AH177</f>
        <v>4.7681424782474335E-2</v>
      </c>
      <c r="J219" s="987">
        <f>'4D Wastewater treatment and dis'!AV214</f>
        <v>225.02087918766139</v>
      </c>
      <c r="K219" s="770">
        <f>'4D Wastewater treatment and dis'!AW214</f>
        <v>3.5467194893720086</v>
      </c>
      <c r="L219" s="771">
        <f t="shared" si="150"/>
        <v>8304.5450044802838</v>
      </c>
      <c r="M219" s="772">
        <f t="shared" si="146"/>
        <v>89.314750649680732</v>
      </c>
      <c r="N219" s="771">
        <f t="shared" si="147"/>
        <v>842.11050612556107</v>
      </c>
      <c r="O219" s="773">
        <f t="shared" si="148"/>
        <v>96.88486093946301</v>
      </c>
      <c r="P219" s="771">
        <f t="shared" si="149"/>
        <v>5824.9215046462123</v>
      </c>
      <c r="Q219" s="519">
        <f t="shared" si="141"/>
        <v>8304.5450044802838</v>
      </c>
      <c r="R219" s="521">
        <f t="shared" si="142"/>
        <v>931.42525677524179</v>
      </c>
      <c r="S219" s="518">
        <f t="shared" si="143"/>
        <v>96.88486093946301</v>
      </c>
      <c r="T219" s="519">
        <f t="shared" si="144"/>
        <v>5824.9215046462123</v>
      </c>
      <c r="U219" s="519">
        <f t="shared" si="145"/>
        <v>15157.7766268412</v>
      </c>
    </row>
    <row r="220" spans="1:21">
      <c r="A220">
        <f>'Input data'!A139</f>
        <v>2039</v>
      </c>
      <c r="C220" s="314">
        <f>'4A SWD Case 3'!BN109</f>
        <v>381.39031433250562</v>
      </c>
      <c r="D220" s="3">
        <f>'4B Biological treatment '!T273</f>
        <v>4.2939206221802273</v>
      </c>
      <c r="E220" s="178">
        <f>'4B Biological treatment '!U273</f>
        <v>21.469603110901136</v>
      </c>
      <c r="F220" s="178">
        <f>'4B Biological treatment '!W273</f>
        <v>1.2881761866540682</v>
      </c>
      <c r="G220" s="952">
        <f>'4C2 Open-burning '!R178</f>
        <v>10.154820958102038</v>
      </c>
      <c r="H220" s="952">
        <f>'4C2 Open-burning '!Z178</f>
        <v>3.4167863587741936</v>
      </c>
      <c r="I220" s="952">
        <f>'4C2 Open-burning '!AH178</f>
        <v>4.7567433008166821E-2</v>
      </c>
      <c r="J220" s="987">
        <f>'4D Wastewater treatment and dis'!AV215</f>
        <v>226.66829224661399</v>
      </c>
      <c r="K220" s="770">
        <f>'4D Wastewater treatment and dis'!AW215</f>
        <v>3.5726855776049167</v>
      </c>
      <c r="L220" s="771">
        <f t="shared" si="150"/>
        <v>8009.1966009826183</v>
      </c>
      <c r="M220" s="772">
        <f t="shared" si="146"/>
        <v>90.17233306578477</v>
      </c>
      <c r="N220" s="771">
        <f t="shared" si="147"/>
        <v>850.1962831916851</v>
      </c>
      <c r="O220" s="773">
        <f t="shared" si="148"/>
        <v>96.653238724891821</v>
      </c>
      <c r="P220" s="771">
        <f t="shared" si="149"/>
        <v>5867.5666662364183</v>
      </c>
      <c r="Q220" s="519">
        <f t="shared" si="141"/>
        <v>8009.1966009826183</v>
      </c>
      <c r="R220" s="521">
        <f t="shared" si="142"/>
        <v>940.36861625746985</v>
      </c>
      <c r="S220" s="518">
        <f t="shared" si="143"/>
        <v>96.653238724891821</v>
      </c>
      <c r="T220" s="519">
        <f t="shared" si="144"/>
        <v>5867.5666662364183</v>
      </c>
      <c r="U220" s="519">
        <f t="shared" si="145"/>
        <v>14913.785122201398</v>
      </c>
    </row>
    <row r="221" spans="1:21">
      <c r="A221">
        <f>'Input data'!A140</f>
        <v>2040</v>
      </c>
      <c r="C221" s="314">
        <f>'4A SWD Case 3'!BN110</f>
        <v>368.42361592047644</v>
      </c>
      <c r="D221" s="3">
        <f>'4B Biological treatment '!T274</f>
        <v>4.3352733672591857</v>
      </c>
      <c r="E221" s="178">
        <f>'4B Biological treatment '!U274</f>
        <v>21.676366836295927</v>
      </c>
      <c r="F221" s="178">
        <f>'4B Biological treatment '!W274</f>
        <v>1.3005820101777559</v>
      </c>
      <c r="G221" s="952">
        <f>'4C2 Open-burning '!R179</f>
        <v>10.130777379596603</v>
      </c>
      <c r="H221" s="952">
        <f>'4C2 Open-burning '!Z179</f>
        <v>3.4086964307102301</v>
      </c>
      <c r="I221" s="952">
        <f>'4C2 Open-burning '!AH179</f>
        <v>4.7454807555236386E-2</v>
      </c>
      <c r="J221" s="987">
        <f>'4D Wastewater treatment and dis'!AV216</f>
        <v>228.32776627429359</v>
      </c>
      <c r="K221" s="770">
        <f>'4D Wastewater treatment and dis'!AW216</f>
        <v>3.5988417676319293</v>
      </c>
      <c r="L221" s="771">
        <f t="shared" si="150"/>
        <v>7736.8959343300048</v>
      </c>
      <c r="M221" s="772">
        <f t="shared" si="146"/>
        <v>91.040740712442897</v>
      </c>
      <c r="N221" s="771">
        <f t="shared" si="147"/>
        <v>858.38412671731885</v>
      </c>
      <c r="O221" s="773">
        <f t="shared" si="148"/>
        <v>96.424392766634725</v>
      </c>
      <c r="P221" s="771">
        <f t="shared" si="149"/>
        <v>5910.5240397260632</v>
      </c>
      <c r="Q221" s="519">
        <f t="shared" si="141"/>
        <v>7736.8959343300048</v>
      </c>
      <c r="R221" s="521">
        <f t="shared" si="142"/>
        <v>949.42486742976178</v>
      </c>
      <c r="S221" s="518">
        <f t="shared" si="143"/>
        <v>96.424392766634725</v>
      </c>
      <c r="T221" s="519">
        <f t="shared" si="144"/>
        <v>5910.5240397260632</v>
      </c>
      <c r="U221" s="519">
        <f t="shared" si="145"/>
        <v>14693.269234252464</v>
      </c>
    </row>
    <row r="222" spans="1:21">
      <c r="A222">
        <f>'Input data'!A141</f>
        <v>2041</v>
      </c>
      <c r="C222" s="314">
        <f>'4A SWD Case 3'!BN111</f>
        <v>356.50736170331243</v>
      </c>
      <c r="D222" s="3">
        <f>'4B Biological treatment '!T275</f>
        <v>4.3809150258270257</v>
      </c>
      <c r="E222" s="178">
        <f>'4B Biological treatment '!U275</f>
        <v>21.904575129135125</v>
      </c>
      <c r="F222" s="178">
        <f>'4B Biological treatment '!W275</f>
        <v>1.3142745077481077</v>
      </c>
      <c r="G222" s="952">
        <f>'4C2 Open-burning '!R180</f>
        <v>10.110594115867604</v>
      </c>
      <c r="H222" s="952">
        <f>'4C2 Open-burning '!Z180</f>
        <v>3.4019053803835608</v>
      </c>
      <c r="I222" s="952">
        <f>'4C2 Open-burning '!AH180</f>
        <v>4.7360264672670904E-2</v>
      </c>
      <c r="J222" s="987">
        <f>'4D Wastewater treatment and dis'!AV217</f>
        <v>229.74589393780369</v>
      </c>
      <c r="K222" s="770">
        <f>'4D Wastewater treatment and dis'!AW217</f>
        <v>3.6211939201999317</v>
      </c>
      <c r="L222" s="771">
        <f t="shared" si="150"/>
        <v>7486.6545957695607</v>
      </c>
      <c r="M222" s="772">
        <f t="shared" si="146"/>
        <v>91.999215542367537</v>
      </c>
      <c r="N222" s="771">
        <f t="shared" si="147"/>
        <v>867.42117511375102</v>
      </c>
      <c r="O222" s="773">
        <f t="shared" si="148"/>
        <v>96.232289152450349</v>
      </c>
      <c r="P222" s="771">
        <f t="shared" si="149"/>
        <v>5947.2338879558556</v>
      </c>
      <c r="Q222" s="519">
        <f t="shared" si="141"/>
        <v>7486.6545957695607</v>
      </c>
      <c r="R222" s="521">
        <f t="shared" si="142"/>
        <v>959.42039065611857</v>
      </c>
      <c r="S222" s="518">
        <f t="shared" si="143"/>
        <v>96.232289152450349</v>
      </c>
      <c r="T222" s="519">
        <f t="shared" si="144"/>
        <v>5947.2338879558556</v>
      </c>
      <c r="U222" s="519">
        <f t="shared" si="145"/>
        <v>14489.541163533986</v>
      </c>
    </row>
    <row r="223" spans="1:21">
      <c r="A223">
        <f>'Input data'!A142</f>
        <v>2042</v>
      </c>
      <c r="C223" s="314">
        <f>'4A SWD Case 3'!BN112</f>
        <v>345.57034126652468</v>
      </c>
      <c r="D223" s="3">
        <f>'4B Biological treatment '!T276</f>
        <v>4.4230088930983555</v>
      </c>
      <c r="E223" s="178">
        <f>'4B Biological treatment '!U276</f>
        <v>22.115044465491778</v>
      </c>
      <c r="F223" s="178">
        <f>'4B Biological treatment '!W276</f>
        <v>1.3269026679295064</v>
      </c>
      <c r="G223" s="952">
        <f>'4C2 Open-burning '!R181</f>
        <v>10.090614955764785</v>
      </c>
      <c r="H223" s="952">
        <f>'4C2 Open-burning '!Z181</f>
        <v>3.3951830046783922</v>
      </c>
      <c r="I223" s="952">
        <f>'4C2 Open-burning '!AH181</f>
        <v>4.7266677856746583E-2</v>
      </c>
      <c r="J223" s="987">
        <f>'4D Wastewater treatment and dis'!AV218</f>
        <v>231.17282949228024</v>
      </c>
      <c r="K223" s="770">
        <f>'4D Wastewater treatment and dis'!AW218</f>
        <v>3.6436849004121257</v>
      </c>
      <c r="L223" s="771">
        <f t="shared" si="150"/>
        <v>7256.9771665970184</v>
      </c>
      <c r="M223" s="772">
        <f t="shared" si="146"/>
        <v>92.883186755065466</v>
      </c>
      <c r="N223" s="771">
        <f t="shared" si="147"/>
        <v>875.75576083347437</v>
      </c>
      <c r="O223" s="773">
        <f t="shared" si="148"/>
        <v>96.042128189602451</v>
      </c>
      <c r="P223" s="771">
        <f t="shared" si="149"/>
        <v>5984.171738465644</v>
      </c>
      <c r="Q223" s="519">
        <f t="shared" si="141"/>
        <v>7256.9771665970184</v>
      </c>
      <c r="R223" s="521">
        <f t="shared" si="142"/>
        <v>968.63894758853985</v>
      </c>
      <c r="S223" s="518">
        <f t="shared" si="143"/>
        <v>96.042128189602451</v>
      </c>
      <c r="T223" s="519">
        <f t="shared" si="144"/>
        <v>5984.171738465644</v>
      </c>
      <c r="U223" s="519">
        <f t="shared" si="145"/>
        <v>14305.829980840806</v>
      </c>
    </row>
    <row r="224" spans="1:21">
      <c r="A224">
        <f>'Input data'!A143</f>
        <v>2043</v>
      </c>
      <c r="C224" s="314">
        <f>'4A SWD Case 3'!BN113</f>
        <v>335.56888723225404</v>
      </c>
      <c r="D224" s="3">
        <f>'4B Biological treatment '!T277</f>
        <v>4.4651828260123132</v>
      </c>
      <c r="E224" s="178">
        <f>'4B Biological treatment '!U277</f>
        <v>22.325914130061566</v>
      </c>
      <c r="F224" s="178">
        <f>'4B Biological treatment '!W277</f>
        <v>1.339554847803694</v>
      </c>
      <c r="G224" s="952">
        <f>'4C2 Open-burning '!R182</f>
        <v>10.070837196069071</v>
      </c>
      <c r="H224" s="952">
        <f>'4C2 Open-burning '!Z182</f>
        <v>3.3885283940442661</v>
      </c>
      <c r="I224" s="952">
        <f>'4C2 Open-burning '!AH182</f>
        <v>4.7174034444985899E-2</v>
      </c>
      <c r="J224" s="987">
        <f>'4D Wastewater treatment and dis'!AV219</f>
        <v>232.6086276429136</v>
      </c>
      <c r="K224" s="770">
        <f>'4D Wastewater treatment and dis'!AW219</f>
        <v>3.666315570517225</v>
      </c>
      <c r="L224" s="771">
        <f t="shared" si="150"/>
        <v>7046.9466318773348</v>
      </c>
      <c r="M224" s="772">
        <f t="shared" si="146"/>
        <v>93.768839346258574</v>
      </c>
      <c r="N224" s="771">
        <f t="shared" si="147"/>
        <v>884.10619955043808</v>
      </c>
      <c r="O224" s="773">
        <f t="shared" si="148"/>
        <v>95.853884148944275</v>
      </c>
      <c r="P224" s="771">
        <f t="shared" si="149"/>
        <v>6021.3390073615255</v>
      </c>
      <c r="Q224" s="519">
        <f t="shared" si="141"/>
        <v>7046.9466318773348</v>
      </c>
      <c r="R224" s="521">
        <f t="shared" si="142"/>
        <v>977.87503889669665</v>
      </c>
      <c r="S224" s="518">
        <f t="shared" si="143"/>
        <v>95.853884148944275</v>
      </c>
      <c r="T224" s="519">
        <f t="shared" si="144"/>
        <v>6021.3390073615255</v>
      </c>
      <c r="U224" s="519">
        <f t="shared" si="145"/>
        <v>14142.014562284501</v>
      </c>
    </row>
    <row r="225" spans="1:21">
      <c r="A225">
        <f>'Input data'!A144</f>
        <v>2044</v>
      </c>
      <c r="C225" s="314">
        <f>'4A SWD Case 3'!BN114</f>
        <v>326.46205948138441</v>
      </c>
      <c r="D225" s="3">
        <f>'4B Biological treatment '!T278</f>
        <v>4.50827928956316</v>
      </c>
      <c r="E225" s="178">
        <f>'4B Biological treatment '!U278</f>
        <v>22.541396447815799</v>
      </c>
      <c r="F225" s="178">
        <f>'4B Biological treatment '!W278</f>
        <v>1.3524837868689477</v>
      </c>
      <c r="G225" s="952">
        <f>'4C2 Open-burning '!R183</f>
        <v>10.05125818014367</v>
      </c>
      <c r="H225" s="952">
        <f>'4C2 Open-burning '!Z183</f>
        <v>3.3819406546042359</v>
      </c>
      <c r="I225" s="952">
        <f>'4C2 Open-burning '!AH183</f>
        <v>4.7082321993113047E-2</v>
      </c>
      <c r="J225" s="987">
        <f>'4D Wastewater treatment and dis'!AV220</f>
        <v>234.0533434346637</v>
      </c>
      <c r="K225" s="770">
        <f>'4D Wastewater treatment and dis'!AW220</f>
        <v>3.6890867981193103</v>
      </c>
      <c r="L225" s="771">
        <f t="shared" si="150"/>
        <v>6855.7032491090731</v>
      </c>
      <c r="M225" s="772">
        <f t="shared" si="146"/>
        <v>94.67386508082636</v>
      </c>
      <c r="N225" s="771">
        <f t="shared" si="147"/>
        <v>892.63929933350551</v>
      </c>
      <c r="O225" s="773">
        <f t="shared" si="148"/>
        <v>95.667531744697669</v>
      </c>
      <c r="P225" s="771">
        <f t="shared" si="149"/>
        <v>6058.7371195449232</v>
      </c>
      <c r="Q225" s="519">
        <f t="shared" si="141"/>
        <v>6855.7032491090731</v>
      </c>
      <c r="R225" s="521">
        <f t="shared" si="142"/>
        <v>987.31316441433182</v>
      </c>
      <c r="S225" s="518">
        <f t="shared" si="143"/>
        <v>95.667531744697669</v>
      </c>
      <c r="T225" s="519">
        <f t="shared" si="144"/>
        <v>6058.7371195449232</v>
      </c>
      <c r="U225" s="519">
        <f t="shared" si="145"/>
        <v>13997.421064813025</v>
      </c>
    </row>
    <row r="226" spans="1:21">
      <c r="A226">
        <f>'Input data'!A145</f>
        <v>2045</v>
      </c>
      <c r="C226" s="314">
        <f>'4A SWD Case 3'!BN115</f>
        <v>318.2109395729255</v>
      </c>
      <c r="D226" s="3">
        <f>'4B Biological treatment '!T279</f>
        <v>4.5526009354644881</v>
      </c>
      <c r="E226" s="178">
        <f>'4B Biological treatment '!U279</f>
        <v>22.763004677322435</v>
      </c>
      <c r="F226" s="178">
        <f>'4B Biological treatment '!W279</f>
        <v>1.365780280639346</v>
      </c>
      <c r="G226" s="952">
        <f>'4C2 Open-burning '!R184</f>
        <v>10.031875296933659</v>
      </c>
      <c r="H226" s="952">
        <f>'4C2 Open-burning '!Z184</f>
        <v>3.3754189078182595</v>
      </c>
      <c r="I226" s="952">
        <f>'4C2 Open-burning '!AH184</f>
        <v>4.6991528270367816E-2</v>
      </c>
      <c r="J226" s="987">
        <f>'4D Wastewater treatment and dis'!AV221</f>
        <v>235.50703225437104</v>
      </c>
      <c r="K226" s="770">
        <f>'4D Wastewater treatment and dis'!AW221</f>
        <v>3.711999456211089</v>
      </c>
      <c r="L226" s="771">
        <f t="shared" si="150"/>
        <v>6682.429731031435</v>
      </c>
      <c r="M226" s="772">
        <f t="shared" si="146"/>
        <v>95.604619644754251</v>
      </c>
      <c r="N226" s="771">
        <f t="shared" si="147"/>
        <v>901.41498522196844</v>
      </c>
      <c r="O226" s="773">
        <f t="shared" si="148"/>
        <v>95.483046124931136</v>
      </c>
      <c r="P226" s="771">
        <f t="shared" si="149"/>
        <v>6096.3675087672291</v>
      </c>
      <c r="Q226" s="519">
        <f t="shared" si="141"/>
        <v>6682.429731031435</v>
      </c>
      <c r="R226" s="521">
        <f t="shared" si="142"/>
        <v>997.01960486672272</v>
      </c>
      <c r="S226" s="518">
        <f t="shared" si="143"/>
        <v>95.483046124931136</v>
      </c>
      <c r="T226" s="519">
        <f t="shared" si="144"/>
        <v>6096.3675087672291</v>
      </c>
      <c r="U226" s="519">
        <f t="shared" si="145"/>
        <v>13871.299890790318</v>
      </c>
    </row>
    <row r="227" spans="1:21">
      <c r="A227">
        <f>'Input data'!A146</f>
        <v>2046</v>
      </c>
      <c r="C227" s="314">
        <f>'4A SWD Case 3'!BN116</f>
        <v>310.77841340955365</v>
      </c>
      <c r="D227" s="3">
        <f>'4B Biological treatment '!T280</f>
        <v>4.601970537881785</v>
      </c>
      <c r="E227" s="178">
        <f>'4B Biological treatment '!U280</f>
        <v>23.009852689408923</v>
      </c>
      <c r="F227" s="178">
        <f>'4B Biological treatment '!W280</f>
        <v>1.3805911613645352</v>
      </c>
      <c r="G227" s="952">
        <f>'4C2 Open-burning '!R185</f>
        <v>10.016080649685344</v>
      </c>
      <c r="H227" s="952">
        <f>'4C2 Open-burning '!Z185</f>
        <v>3.3701044925782111</v>
      </c>
      <c r="I227" s="952">
        <f>'4C2 Open-burning '!AH185</f>
        <v>4.6917542640490965E-2</v>
      </c>
      <c r="J227" s="987">
        <f>'4D Wastewater treatment and dis'!AV222</f>
        <v>236.70925796835201</v>
      </c>
      <c r="K227" s="770">
        <f>'4D Wastewater treatment and dis'!AW222</f>
        <v>3.7309486194433799</v>
      </c>
      <c r="L227" s="771">
        <f t="shared" si="150"/>
        <v>6526.3466816006267</v>
      </c>
      <c r="M227" s="772">
        <f t="shared" si="146"/>
        <v>96.64138129551749</v>
      </c>
      <c r="N227" s="771">
        <f t="shared" si="147"/>
        <v>911.19016650059325</v>
      </c>
      <c r="O227" s="773">
        <f t="shared" si="148"/>
        <v>95.332713212379986</v>
      </c>
      <c r="P227" s="771">
        <f t="shared" si="149"/>
        <v>6127.4884893628396</v>
      </c>
      <c r="Q227" s="519">
        <f t="shared" si="141"/>
        <v>6526.3466816006267</v>
      </c>
      <c r="R227" s="521">
        <f t="shared" si="142"/>
        <v>1007.8315477961107</v>
      </c>
      <c r="S227" s="518">
        <f t="shared" si="143"/>
        <v>95.332713212379986</v>
      </c>
      <c r="T227" s="519">
        <f t="shared" si="144"/>
        <v>6127.4884893628396</v>
      </c>
      <c r="U227" s="519">
        <f t="shared" si="145"/>
        <v>13756.999431971955</v>
      </c>
    </row>
    <row r="228" spans="1:21">
      <c r="A228">
        <f>'Input data'!A147</f>
        <v>2047</v>
      </c>
      <c r="C228" s="314">
        <f>'4A SWD Case 3'!BN117</f>
        <v>303.77146816254964</v>
      </c>
      <c r="D228" s="3">
        <f>'4B Biological treatment '!T281</f>
        <v>4.6405387664142594</v>
      </c>
      <c r="E228" s="178">
        <f>'4B Biological treatment '!U281</f>
        <v>23.202693832071297</v>
      </c>
      <c r="F228" s="178">
        <f>'4B Biological treatment '!W281</f>
        <v>1.3921616299242778</v>
      </c>
      <c r="G228" s="952">
        <f>'4C2 Open-burning '!R186</f>
        <v>10.000415502259907</v>
      </c>
      <c r="H228" s="952">
        <f>'4C2 Open-burning '!Z186</f>
        <v>3.3648336500638756</v>
      </c>
      <c r="I228" s="952">
        <f>'4C2 Open-burning '!AH186</f>
        <v>4.6844163616498617E-2</v>
      </c>
      <c r="J228" s="987">
        <f>'4D Wastewater treatment and dis'!AV223</f>
        <v>237.91762085222362</v>
      </c>
      <c r="K228" s="770">
        <f>'4D Wastewater treatment and dis'!AW223</f>
        <v>3.74999451512174</v>
      </c>
      <c r="L228" s="771">
        <f t="shared" si="150"/>
        <v>6379.2008314135428</v>
      </c>
      <c r="M228" s="772">
        <f t="shared" si="146"/>
        <v>97.451314094699455</v>
      </c>
      <c r="N228" s="771">
        <f t="shared" si="147"/>
        <v>918.82667575002336</v>
      </c>
      <c r="O228" s="773">
        <f t="shared" si="148"/>
        <v>95.183612874715863</v>
      </c>
      <c r="P228" s="771">
        <f t="shared" si="149"/>
        <v>6158.7683375844354</v>
      </c>
      <c r="Q228" s="519">
        <f t="shared" si="141"/>
        <v>6379.2008314135428</v>
      </c>
      <c r="R228" s="521">
        <f t="shared" si="142"/>
        <v>1016.2779898447228</v>
      </c>
      <c r="S228" s="518">
        <f t="shared" si="143"/>
        <v>95.183612874715863</v>
      </c>
      <c r="T228" s="519">
        <f t="shared" si="144"/>
        <v>6158.7683375844354</v>
      </c>
      <c r="U228" s="519">
        <f t="shared" si="145"/>
        <v>13649.430771717416</v>
      </c>
    </row>
    <row r="229" spans="1:21">
      <c r="A229">
        <f>'Input data'!A148</f>
        <v>2048</v>
      </c>
      <c r="C229" s="314">
        <f>'4A SWD Case 3'!BN118</f>
        <v>297.16372747977567</v>
      </c>
      <c r="D229" s="3">
        <f>'4B Biological treatment '!T282</f>
        <v>4.6800744751671886</v>
      </c>
      <c r="E229" s="178">
        <f>'4B Biological treatment '!U282</f>
        <v>23.400372375835943</v>
      </c>
      <c r="F229" s="178">
        <f>'4B Biological treatment '!W282</f>
        <v>1.4040223425501566</v>
      </c>
      <c r="G229" s="952">
        <f>'4C2 Open-burning '!R187</f>
        <v>9.984878469104487</v>
      </c>
      <c r="H229" s="952">
        <f>'4C2 Open-burning '!Z187</f>
        <v>3.3596059140791361</v>
      </c>
      <c r="I229" s="952">
        <f>'4C2 Open-burning '!AH187</f>
        <v>4.6771384708153965E-2</v>
      </c>
      <c r="J229" s="987">
        <f>'4D Wastewater treatment and dis'!AV224</f>
        <v>239.13215223525594</v>
      </c>
      <c r="K229" s="770">
        <f>'4D Wastewater treatment and dis'!AW224</f>
        <v>3.769137637049826</v>
      </c>
      <c r="L229" s="771">
        <f t="shared" si="150"/>
        <v>6240.4382770752891</v>
      </c>
      <c r="M229" s="772">
        <f t="shared" si="146"/>
        <v>98.28156397851096</v>
      </c>
      <c r="N229" s="771">
        <f t="shared" si="147"/>
        <v>926.65474608310342</v>
      </c>
      <c r="O229" s="773">
        <f t="shared" si="148"/>
        <v>95.035731924294083</v>
      </c>
      <c r="P229" s="771">
        <f t="shared" si="149"/>
        <v>6190.2078644258199</v>
      </c>
      <c r="Q229" s="519">
        <f t="shared" si="141"/>
        <v>6240.4382770752891</v>
      </c>
      <c r="R229" s="521">
        <f t="shared" si="142"/>
        <v>1024.9363100616144</v>
      </c>
      <c r="S229" s="518">
        <f t="shared" si="143"/>
        <v>95.035731924294083</v>
      </c>
      <c r="T229" s="519">
        <f t="shared" si="144"/>
        <v>6190.2078644258199</v>
      </c>
      <c r="U229" s="519">
        <f t="shared" si="145"/>
        <v>13550.618183487019</v>
      </c>
    </row>
    <row r="230" spans="1:21">
      <c r="A230">
        <f>'Input data'!A149</f>
        <v>2049</v>
      </c>
      <c r="C230" s="314">
        <f>'4A SWD Case 3'!BN119</f>
        <v>290.93574054061952</v>
      </c>
      <c r="D230" s="3">
        <f>'4B Biological treatment '!T283</f>
        <v>4.7184587618448042</v>
      </c>
      <c r="E230" s="178">
        <f>'4B Biological treatment '!U283</f>
        <v>23.592293809224017</v>
      </c>
      <c r="F230" s="178">
        <f>'4B Biological treatment '!W283</f>
        <v>1.4155376285534411</v>
      </c>
      <c r="G230" s="952">
        <f>'4C2 Open-burning '!R188</f>
        <v>9.9694681839421868</v>
      </c>
      <c r="H230" s="952">
        <f>'4C2 Open-burning '!Z188</f>
        <v>3.3544208249136438</v>
      </c>
      <c r="I230" s="952">
        <f>'4C2 Open-burning '!AH188</f>
        <v>4.669919951551306E-2</v>
      </c>
      <c r="J230" s="987">
        <f>'4D Wastewater treatment and dis'!AV225</f>
        <v>240.35288360665007</v>
      </c>
      <c r="K230" s="770">
        <f>'4D Wastewater treatment and dis'!AW225</f>
        <v>3.7883784815520856</v>
      </c>
      <c r="L230" s="771">
        <f t="shared" si="150"/>
        <v>6109.6505513530101</v>
      </c>
      <c r="M230" s="772">
        <f t="shared" si="146"/>
        <v>99.087633998740884</v>
      </c>
      <c r="N230" s="771">
        <f t="shared" si="147"/>
        <v>934.25483484527115</v>
      </c>
      <c r="O230" s="773">
        <f t="shared" si="148"/>
        <v>94.889057356937755</v>
      </c>
      <c r="P230" s="771">
        <f t="shared" si="149"/>
        <v>6221.8078850207985</v>
      </c>
      <c r="Q230" s="519">
        <f t="shared" si="141"/>
        <v>6109.6505513530101</v>
      </c>
      <c r="R230" s="521">
        <f t="shared" si="142"/>
        <v>1033.342468844012</v>
      </c>
      <c r="S230" s="518">
        <f t="shared" si="143"/>
        <v>94.889057356937755</v>
      </c>
      <c r="T230" s="519">
        <f t="shared" si="144"/>
        <v>6221.8078850207985</v>
      </c>
      <c r="U230" s="519">
        <f t="shared" si="145"/>
        <v>13459.689962574757</v>
      </c>
    </row>
    <row r="231" spans="1:21">
      <c r="A231">
        <f>'Input data'!A150</f>
        <v>2050</v>
      </c>
      <c r="C231" s="314">
        <f>'4A SWD Case 3'!BN120</f>
        <v>285.06810854801211</v>
      </c>
      <c r="D231" s="3">
        <f>'4B Biological treatment '!T284</f>
        <v>4.7579971766710312</v>
      </c>
      <c r="E231" s="178">
        <f>'4B Biological treatment '!U284</f>
        <v>23.789985883355154</v>
      </c>
      <c r="F231" s="178">
        <f>'4B Biological treatment '!W284</f>
        <v>1.4273991530013093</v>
      </c>
      <c r="G231" s="952">
        <f>'4C2 Open-burning '!R189</f>
        <v>9.9541832994375596</v>
      </c>
      <c r="H231" s="952">
        <f>'4C2 Open-burning '!Z189</f>
        <v>3.3492779292302708</v>
      </c>
      <c r="I231" s="952">
        <f>'4C2 Open-burning '!AH189</f>
        <v>4.6627601727357935E-2</v>
      </c>
      <c r="J231" s="987">
        <f>'4D Wastewater treatment and dis'!AV226</f>
        <v>241.57984661635467</v>
      </c>
      <c r="K231" s="770">
        <f>'4D Wastewater treatment and dis'!AW226</f>
        <v>3.8077175474866229</v>
      </c>
      <c r="L231" s="771">
        <f t="shared" si="150"/>
        <v>5986.430279508254</v>
      </c>
      <c r="M231" s="772">
        <f t="shared" si="146"/>
        <v>99.917940710091656</v>
      </c>
      <c r="N231" s="771">
        <f t="shared" si="147"/>
        <v>942.08344098086411</v>
      </c>
      <c r="O231" s="773">
        <f t="shared" si="148"/>
        <v>94.743576348754203</v>
      </c>
      <c r="P231" s="771">
        <f t="shared" si="149"/>
        <v>6253.5692186643009</v>
      </c>
      <c r="Q231" s="471">
        <f t="shared" si="141"/>
        <v>5986.430279508254</v>
      </c>
      <c r="R231" s="517">
        <f t="shared" si="142"/>
        <v>1042.0013816909557</v>
      </c>
      <c r="S231" s="514">
        <f t="shared" si="143"/>
        <v>94.743576348754203</v>
      </c>
      <c r="T231" s="471">
        <f t="shared" si="144"/>
        <v>6253.5692186643009</v>
      </c>
      <c r="U231" s="471">
        <f t="shared" si="145"/>
        <v>13376.744456212266</v>
      </c>
    </row>
    <row r="232" spans="1:21">
      <c r="E232" s="515"/>
    </row>
    <row r="233" spans="1:21">
      <c r="E233" s="515"/>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87"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7" t="s">
        <v>750</v>
      </c>
      <c r="C1" s="1778"/>
      <c r="D1" s="1778"/>
      <c r="E1" s="1778"/>
      <c r="F1" s="1779"/>
      <c r="H1" s="1777" t="s">
        <v>751</v>
      </c>
      <c r="I1" s="1778"/>
      <c r="J1" s="1778"/>
      <c r="K1" s="1778"/>
      <c r="L1" s="1779"/>
      <c r="M1" s="1771" t="s">
        <v>754</v>
      </c>
    </row>
    <row r="2" spans="1:13">
      <c r="B2" s="1766" t="s">
        <v>518</v>
      </c>
      <c r="C2" s="1767"/>
      <c r="D2" s="1767"/>
      <c r="E2" s="1767"/>
      <c r="F2" s="1768"/>
      <c r="H2" s="1766" t="s">
        <v>518</v>
      </c>
      <c r="I2" s="1767"/>
      <c r="J2" s="1767"/>
      <c r="K2" s="1767"/>
      <c r="L2" s="1768"/>
      <c r="M2" s="1772"/>
    </row>
    <row r="3" spans="1:13">
      <c r="B3" s="509" t="s">
        <v>187</v>
      </c>
      <c r="C3" s="512" t="s">
        <v>194</v>
      </c>
      <c r="D3" s="512" t="s">
        <v>513</v>
      </c>
      <c r="E3" s="512" t="s">
        <v>517</v>
      </c>
      <c r="F3" s="513">
        <v>4</v>
      </c>
      <c r="H3" s="509" t="s">
        <v>187</v>
      </c>
      <c r="I3" s="512" t="s">
        <v>194</v>
      </c>
      <c r="J3" s="512" t="s">
        <v>513</v>
      </c>
      <c r="K3" s="512" t="s">
        <v>517</v>
      </c>
      <c r="L3" s="513">
        <v>4</v>
      </c>
      <c r="M3" s="1772"/>
    </row>
    <row r="4" spans="1:13" ht="75">
      <c r="B4" s="509" t="s">
        <v>233</v>
      </c>
      <c r="C4" s="512" t="s">
        <v>512</v>
      </c>
      <c r="D4" s="512" t="s">
        <v>38</v>
      </c>
      <c r="E4" s="512" t="s">
        <v>193</v>
      </c>
      <c r="F4" s="513" t="s">
        <v>627</v>
      </c>
      <c r="H4" s="509" t="s">
        <v>233</v>
      </c>
      <c r="I4" s="512" t="s">
        <v>512</v>
      </c>
      <c r="J4" s="512" t="s">
        <v>38</v>
      </c>
      <c r="K4" s="512" t="s">
        <v>193</v>
      </c>
      <c r="L4" s="513" t="s">
        <v>627</v>
      </c>
      <c r="M4" s="1772"/>
    </row>
    <row r="5" spans="1:13" ht="15.75" thickBot="1">
      <c r="B5" s="1763" t="s">
        <v>515</v>
      </c>
      <c r="C5" s="1764"/>
      <c r="D5" s="1764"/>
      <c r="E5" s="1764"/>
      <c r="F5" s="1765"/>
      <c r="H5" s="1763" t="s">
        <v>515</v>
      </c>
      <c r="I5" s="1764"/>
      <c r="J5" s="1764"/>
      <c r="K5" s="1764"/>
      <c r="L5" s="1765"/>
      <c r="M5" s="1773"/>
    </row>
    <row r="7" spans="1:13">
      <c r="A7" s="413">
        <v>2000</v>
      </c>
      <c r="B7" s="471">
        <f>'Output data (results)'!Q10</f>
        <v>15699.590857197203</v>
      </c>
      <c r="C7" s="471">
        <f>'Output data (results)'!R10</f>
        <v>317.6894945273184</v>
      </c>
      <c r="D7" s="471">
        <f>'Output data (results)'!S10</f>
        <v>252.83335953932928</v>
      </c>
      <c r="E7" s="471">
        <f>'Output data (results)'!T10</f>
        <v>2831.8730929925982</v>
      </c>
      <c r="F7" s="471">
        <f>'Output data (results)'!U10</f>
        <v>19101.986804256449</v>
      </c>
      <c r="H7" s="471">
        <v>10533.924430337305</v>
      </c>
      <c r="I7" s="471">
        <v>0</v>
      </c>
      <c r="J7" s="471">
        <v>280.4959266912</v>
      </c>
      <c r="K7" s="471">
        <v>2743.4280331618288</v>
      </c>
      <c r="L7" s="471">
        <v>13557.848390190333</v>
      </c>
      <c r="M7" s="1412">
        <f>(F7-L7)/L7</f>
        <v>0.40892465046869314</v>
      </c>
    </row>
    <row r="8" spans="1:13">
      <c r="A8" s="53">
        <v>2001</v>
      </c>
      <c r="B8" s="519">
        <f>'Output data (results)'!Q11</f>
        <v>16195.23027442346</v>
      </c>
      <c r="C8" s="519">
        <f>'Output data (results)'!R11</f>
        <v>325.32074120309005</v>
      </c>
      <c r="D8" s="519">
        <f>'Output data (results)'!S11</f>
        <v>258.06241311161995</v>
      </c>
      <c r="E8" s="519">
        <f>'Output data (results)'!T11</f>
        <v>2890.4413774158538</v>
      </c>
      <c r="F8" s="519">
        <f>'Output data (results)'!U11</f>
        <v>19669.054806154025</v>
      </c>
      <c r="H8" s="519">
        <v>10964.910265635064</v>
      </c>
      <c r="I8" s="519">
        <v>0</v>
      </c>
      <c r="J8" s="519">
        <v>286.29709244776791</v>
      </c>
      <c r="K8" s="519">
        <v>2800.1671129385845</v>
      </c>
      <c r="L8" s="519">
        <v>14051.374471021418</v>
      </c>
      <c r="M8" s="1412">
        <f t="shared" ref="M8:M24" si="0">(F8-L8)/L8</f>
        <v>0.39979578842753938</v>
      </c>
    </row>
    <row r="9" spans="1:13">
      <c r="A9" s="53">
        <v>2002</v>
      </c>
      <c r="B9" s="519">
        <f>'Output data (results)'!Q12</f>
        <v>16696.515596720052</v>
      </c>
      <c r="C9" s="519">
        <f>'Output data (results)'!R12</f>
        <v>333.8224538634463</v>
      </c>
      <c r="D9" s="519">
        <f>'Output data (results)'!S12</f>
        <v>261.64230363418824</v>
      </c>
      <c r="E9" s="519">
        <f>'Output data (results)'!T12</f>
        <v>2930.5381259825444</v>
      </c>
      <c r="F9" s="519">
        <f>'Output data (results)'!U12</f>
        <v>20222.51848020023</v>
      </c>
      <c r="H9" s="519">
        <v>11393.849070741173</v>
      </c>
      <c r="I9" s="519">
        <v>0</v>
      </c>
      <c r="J9" s="519">
        <v>290.26865977341839</v>
      </c>
      <c r="K9" s="519">
        <v>2839.0115598626717</v>
      </c>
      <c r="L9" s="519">
        <v>14523.129290377263</v>
      </c>
      <c r="M9" s="1412">
        <f t="shared" si="0"/>
        <v>0.39243534061211371</v>
      </c>
    </row>
    <row r="10" spans="1:13">
      <c r="A10" s="53">
        <v>2003</v>
      </c>
      <c r="B10" s="519">
        <f>'Output data (results)'!Q13</f>
        <v>17206.223024529128</v>
      </c>
      <c r="C10" s="519">
        <f>'Output data (results)'!R13</f>
        <v>341.08063599266143</v>
      </c>
      <c r="D10" s="519">
        <f>'Output data (results)'!S13</f>
        <v>264.99234564808432</v>
      </c>
      <c r="E10" s="519">
        <f>'Output data (results)'!T13</f>
        <v>2968.0604444646974</v>
      </c>
      <c r="F10" s="519">
        <f>'Output data (results)'!U13</f>
        <v>20780.356450634568</v>
      </c>
      <c r="H10" s="519">
        <v>11815.503726588919</v>
      </c>
      <c r="I10" s="519">
        <v>0</v>
      </c>
      <c r="J10" s="519">
        <v>293.98523080207673</v>
      </c>
      <c r="K10" s="519">
        <v>2875.3619813020655</v>
      </c>
      <c r="L10" s="519">
        <v>14984.85093869306</v>
      </c>
      <c r="M10" s="1412">
        <f t="shared" si="0"/>
        <v>0.3867576351378092</v>
      </c>
    </row>
    <row r="11" spans="1:13">
      <c r="A11" s="53">
        <v>2004</v>
      </c>
      <c r="B11" s="519">
        <f>'Output data (results)'!Q14</f>
        <v>17653.011273218937</v>
      </c>
      <c r="C11" s="519">
        <f>'Output data (results)'!R14</f>
        <v>351.33417334640478</v>
      </c>
      <c r="D11" s="519">
        <f>'Output data (results)'!S14</f>
        <v>268.1470164296091</v>
      </c>
      <c r="E11" s="519">
        <f>'Output data (results)'!T14</f>
        <v>3003.3944973749908</v>
      </c>
      <c r="F11" s="519">
        <f>'Output data (results)'!U14</f>
        <v>21275.886960369939</v>
      </c>
      <c r="H11" s="519">
        <v>12229.217124216619</v>
      </c>
      <c r="I11" s="519">
        <v>0</v>
      </c>
      <c r="J11" s="519">
        <v>297.485054978292</v>
      </c>
      <c r="K11" s="519">
        <v>2909.5924810794709</v>
      </c>
      <c r="L11" s="519">
        <v>15436.294660274381</v>
      </c>
      <c r="M11" s="1412">
        <f t="shared" si="0"/>
        <v>0.37830272281105559</v>
      </c>
    </row>
    <row r="12" spans="1:13">
      <c r="A12" s="53">
        <v>2005</v>
      </c>
      <c r="B12" s="519">
        <f>'Output data (results)'!Q15</f>
        <v>18046.724983933738</v>
      </c>
      <c r="C12" s="519">
        <f>'Output data (results)'!R15</f>
        <v>363.30579004481376</v>
      </c>
      <c r="D12" s="519">
        <f>'Output data (results)'!S15</f>
        <v>271.20974780766511</v>
      </c>
      <c r="E12" s="519">
        <f>'Output data (results)'!T15</f>
        <v>3037.6987782514689</v>
      </c>
      <c r="F12" s="519">
        <f>'Output data (results)'!U15</f>
        <v>21718.939300037688</v>
      </c>
      <c r="H12" s="519">
        <v>12635.361530682268</v>
      </c>
      <c r="I12" s="519">
        <v>0</v>
      </c>
      <c r="J12" s="519">
        <v>300.88288063571031</v>
      </c>
      <c r="K12" s="519">
        <v>2942.8253706630003</v>
      </c>
      <c r="L12" s="519">
        <v>15879.069781980979</v>
      </c>
      <c r="M12" s="1412">
        <f t="shared" si="0"/>
        <v>0.36777151295623067</v>
      </c>
    </row>
    <row r="13" spans="1:13">
      <c r="A13" s="53">
        <v>2006</v>
      </c>
      <c r="B13" s="519">
        <f>'Output data (results)'!Q16</f>
        <v>18390.195075359468</v>
      </c>
      <c r="C13" s="519">
        <f>'Output data (results)'!R16</f>
        <v>376.47550160082596</v>
      </c>
      <c r="D13" s="519">
        <f>'Output data (results)'!S16</f>
        <v>274.27247918572107</v>
      </c>
      <c r="E13" s="519">
        <f>'Output data (results)'!T16</f>
        <v>3072.0030591279478</v>
      </c>
      <c r="F13" s="519">
        <f>'Output data (results)'!U16</f>
        <v>22112.946115273964</v>
      </c>
      <c r="H13" s="519">
        <v>13034.366247930175</v>
      </c>
      <c r="I13" s="519">
        <v>0</v>
      </c>
      <c r="J13" s="519">
        <v>304.28070629312867</v>
      </c>
      <c r="K13" s="519">
        <v>2976.0582602465283</v>
      </c>
      <c r="L13" s="519">
        <v>16314.705214469832</v>
      </c>
      <c r="M13" s="1412">
        <f t="shared" si="0"/>
        <v>0.35539967315263282</v>
      </c>
    </row>
    <row r="14" spans="1:13">
      <c r="A14" s="53">
        <v>2007</v>
      </c>
      <c r="B14" s="519">
        <f>'Output data (results)'!Q17</f>
        <v>18683.341889219231</v>
      </c>
      <c r="C14" s="519">
        <f>'Output data (results)'!R17</f>
        <v>389.73702491738641</v>
      </c>
      <c r="D14" s="519">
        <f>'Output data (results)'!S17</f>
        <v>277.29498707475938</v>
      </c>
      <c r="E14" s="519">
        <f>'Output data (results)'!T17</f>
        <v>3105.8568147396318</v>
      </c>
      <c r="F14" s="519">
        <f>'Output data (results)'!U17</f>
        <v>22456.230715951009</v>
      </c>
      <c r="H14" s="519">
        <v>13426.83686526205</v>
      </c>
      <c r="I14" s="519">
        <v>0</v>
      </c>
      <c r="J14" s="519">
        <v>307.63390759857356</v>
      </c>
      <c r="K14" s="519">
        <v>3008.8546953702357</v>
      </c>
      <c r="L14" s="519">
        <v>16743.325468230862</v>
      </c>
      <c r="M14" s="1412">
        <f t="shared" si="0"/>
        <v>0.34120493318725331</v>
      </c>
    </row>
    <row r="15" spans="1:13">
      <c r="A15" s="53">
        <v>2008</v>
      </c>
      <c r="B15" s="519">
        <f>'Output data (results)'!Q18</f>
        <v>18922.774617419884</v>
      </c>
      <c r="C15" s="519">
        <f>'Output data (results)'!R18</f>
        <v>398.75625295109984</v>
      </c>
      <c r="D15" s="519">
        <f>'Output data (results)'!S18</f>
        <v>280.37495709096584</v>
      </c>
      <c r="E15" s="519">
        <f>'Output data (results)'!T18</f>
        <v>3140.3541778724511</v>
      </c>
      <c r="F15" s="519">
        <f>'Output data (results)'!U18</f>
        <v>22742.260005334403</v>
      </c>
      <c r="H15" s="519">
        <v>13813.037752763516</v>
      </c>
      <c r="I15" s="519">
        <v>0</v>
      </c>
      <c r="J15" s="519">
        <v>311.05085797826627</v>
      </c>
      <c r="K15" s="519">
        <v>3042.274636865116</v>
      </c>
      <c r="L15" s="519">
        <v>17166.363247606896</v>
      </c>
      <c r="M15" s="1412">
        <f t="shared" si="0"/>
        <v>0.32481526094380087</v>
      </c>
    </row>
    <row r="16" spans="1:13">
      <c r="A16" s="53">
        <v>2009</v>
      </c>
      <c r="B16" s="519">
        <f>'Output data (results)'!Q19</f>
        <v>19097.901734560917</v>
      </c>
      <c r="C16" s="519">
        <f>'Output data (results)'!R19</f>
        <v>396.97179035172871</v>
      </c>
      <c r="D16" s="519">
        <f>'Output data (results)'!S19</f>
        <v>283.40321119272096</v>
      </c>
      <c r="E16" s="519">
        <f>'Output data (results)'!T19</f>
        <v>3174.2722942362484</v>
      </c>
      <c r="F16" s="519">
        <f>'Output data (results)'!U19</f>
        <v>22952.549030341619</v>
      </c>
      <c r="H16" s="519">
        <v>14192.753023342679</v>
      </c>
      <c r="I16" s="519">
        <v>0</v>
      </c>
      <c r="J16" s="519">
        <v>314.41043419113589</v>
      </c>
      <c r="K16" s="519">
        <v>3075.1334226259405</v>
      </c>
      <c r="L16" s="519">
        <v>17582.296880159753</v>
      </c>
      <c r="M16" s="1412">
        <f t="shared" si="0"/>
        <v>0.30543518783611123</v>
      </c>
    </row>
    <row r="17" spans="1:13">
      <c r="A17" s="53">
        <v>2010</v>
      </c>
      <c r="B17" s="519">
        <f>'Output data (results)'!Q20</f>
        <v>19193.274593841717</v>
      </c>
      <c r="C17" s="519">
        <f>'Output data (results)'!R20</f>
        <v>456.79851130612758</v>
      </c>
      <c r="D17" s="519">
        <f>'Output data (results)'!S20</f>
        <v>289.10958635758124</v>
      </c>
      <c r="E17" s="519">
        <f>'Output data (results)'!T20</f>
        <v>3209.670707898656</v>
      </c>
      <c r="F17" s="519">
        <f>'Output data (results)'!U20</f>
        <v>23148.853399404081</v>
      </c>
      <c r="H17" s="519">
        <v>14563.494113324392</v>
      </c>
      <c r="I17" s="519">
        <v>0</v>
      </c>
      <c r="J17" s="519">
        <v>317.91663327477596</v>
      </c>
      <c r="K17" s="519">
        <v>3109.4262730404635</v>
      </c>
      <c r="L17" s="519">
        <v>17990.837019639632</v>
      </c>
      <c r="M17" s="1412">
        <f t="shared" si="0"/>
        <v>0.28670241268561986</v>
      </c>
    </row>
    <row r="18" spans="1:13">
      <c r="A18" s="53">
        <v>2011</v>
      </c>
      <c r="B18" s="519">
        <f>'Output data (results)'!Q21</f>
        <v>19170.808594730344</v>
      </c>
      <c r="C18" s="519">
        <f>'Output data (results)'!R21</f>
        <v>487.61891597202572</v>
      </c>
      <c r="D18" s="519">
        <f>'Output data (results)'!S21</f>
        <v>301.9056170360725</v>
      </c>
      <c r="E18" s="519">
        <f>'Output data (results)'!T21</f>
        <v>3332.0204976663595</v>
      </c>
      <c r="F18" s="519">
        <f>'Output data (results)'!U21</f>
        <v>23292.353625404801</v>
      </c>
      <c r="H18" s="519">
        <v>14935.214484849848</v>
      </c>
      <c r="I18" s="519">
        <v>0</v>
      </c>
      <c r="J18" s="519">
        <v>330.03533228932076</v>
      </c>
      <c r="K18" s="519">
        <v>3227.9548342004782</v>
      </c>
      <c r="L18" s="519">
        <v>18493.204651339649</v>
      </c>
      <c r="M18" s="1412">
        <f t="shared" si="0"/>
        <v>0.25950877982186293</v>
      </c>
    </row>
    <row r="19" spans="1:13">
      <c r="A19" s="53">
        <v>2012</v>
      </c>
      <c r="B19" s="519">
        <f>'Output data (results)'!Q22</f>
        <v>19051.284639763846</v>
      </c>
      <c r="C19" s="519">
        <f>'Output data (results)'!R22</f>
        <v>538.64744356540064</v>
      </c>
      <c r="D19" s="519">
        <f>'Output data (results)'!S22</f>
        <v>306.05640080876935</v>
      </c>
      <c r="E19" s="519">
        <f>'Output data (results)'!T22</f>
        <v>3367.704214952827</v>
      </c>
      <c r="F19" s="519">
        <f>'Output data (results)'!U22</f>
        <v>23263.692699090843</v>
      </c>
      <c r="H19" s="519">
        <v>15332.055571910652</v>
      </c>
      <c r="I19" s="519">
        <v>0</v>
      </c>
      <c r="J19" s="519">
        <v>337.75534518075358</v>
      </c>
      <c r="K19" s="519">
        <v>3303.4614557495461</v>
      </c>
      <c r="L19" s="519">
        <v>18973.272372840955</v>
      </c>
      <c r="M19" s="1412">
        <f t="shared" si="0"/>
        <v>0.22612969665640573</v>
      </c>
    </row>
    <row r="20" spans="1:13">
      <c r="A20" s="53">
        <v>2013</v>
      </c>
      <c r="B20" s="519">
        <f>'Output data (results)'!Q23</f>
        <v>18819.509349126125</v>
      </c>
      <c r="C20" s="519">
        <f>'Output data (results)'!R23</f>
        <v>589.15519434167379</v>
      </c>
      <c r="D20" s="519">
        <f>'Output data (results)'!S23</f>
        <v>310.6538874859516</v>
      </c>
      <c r="E20" s="519">
        <f>'Output data (results)'!T23</f>
        <v>3417.8382529883984</v>
      </c>
      <c r="F20" s="519">
        <f>'Output data (results)'!U23</f>
        <v>23137.15668394215</v>
      </c>
      <c r="H20" s="519">
        <v>15737.951382982099</v>
      </c>
      <c r="I20" s="519">
        <v>0</v>
      </c>
      <c r="J20" s="519">
        <v>339.09407573996157</v>
      </c>
      <c r="K20" s="519">
        <v>3316.555089544182</v>
      </c>
      <c r="L20" s="519">
        <v>19393.600548266244</v>
      </c>
      <c r="M20" s="1412">
        <f t="shared" si="0"/>
        <v>0.19303048582232318</v>
      </c>
    </row>
    <row r="21" spans="1:13">
      <c r="A21" s="53">
        <v>2014</v>
      </c>
      <c r="B21" s="519">
        <f>'Output data (results)'!Q24</f>
        <v>18556.493934212805</v>
      </c>
      <c r="C21" s="519">
        <f>'Output data (results)'!R24</f>
        <v>635.23910612615396</v>
      </c>
      <c r="D21" s="519">
        <f>'Output data (results)'!S24</f>
        <v>314.51894299876597</v>
      </c>
      <c r="E21" s="519">
        <f>'Output data (results)'!T24</f>
        <v>3469.8404041167237</v>
      </c>
      <c r="F21" s="519">
        <f>'Output data (results)'!U24</f>
        <v>22976.09238745445</v>
      </c>
      <c r="H21" s="519">
        <v>16159.429496771412</v>
      </c>
      <c r="I21" s="519">
        <v>0</v>
      </c>
      <c r="J21" s="519">
        <v>344.61474556983836</v>
      </c>
      <c r="K21" s="519">
        <v>3370.550741287776</v>
      </c>
      <c r="L21" s="519">
        <v>19874.594983629024</v>
      </c>
      <c r="M21" s="1412">
        <f t="shared" si="0"/>
        <v>0.156053363924154</v>
      </c>
    </row>
    <row r="22" spans="1:13">
      <c r="A22" s="53">
        <v>2015</v>
      </c>
      <c r="B22" s="519">
        <f>'Output data (results)'!Q25</f>
        <v>18263.974243063207</v>
      </c>
      <c r="C22" s="519">
        <f>'Output data (results)'!R25</f>
        <v>677.38176547650767</v>
      </c>
      <c r="D22" s="519">
        <f>'Output data (results)'!S25</f>
        <v>317.61605794264813</v>
      </c>
      <c r="E22" s="519">
        <f>'Output data (results)'!T25</f>
        <v>3523.7828087751991</v>
      </c>
      <c r="F22" s="519">
        <f>'Output data (results)'!U25</f>
        <v>22782.75487525756</v>
      </c>
      <c r="H22" s="519">
        <v>16573.286536721545</v>
      </c>
      <c r="I22" s="519">
        <v>0</v>
      </c>
      <c r="J22" s="519">
        <v>350.33941243730874</v>
      </c>
      <c r="K22" s="519">
        <v>3426.5416134191241</v>
      </c>
      <c r="L22" s="519">
        <v>20350.167562577979</v>
      </c>
      <c r="M22" s="1412">
        <f t="shared" si="0"/>
        <v>0.11953647581521037</v>
      </c>
    </row>
    <row r="23" spans="1:13">
      <c r="A23" s="53">
        <v>2016</v>
      </c>
      <c r="B23" s="519">
        <f>'Output data (results)'!Q26</f>
        <v>17944.000999950382</v>
      </c>
      <c r="C23" s="519">
        <f>'Output data (results)'!R26</f>
        <v>715.43001879258736</v>
      </c>
      <c r="D23" s="519">
        <f>'Output data (results)'!S26</f>
        <v>319.90690368827416</v>
      </c>
      <c r="E23" s="519">
        <f>'Output data (results)'!T26</f>
        <v>3579.7412011442502</v>
      </c>
      <c r="F23" s="519">
        <f>'Output data (results)'!U26</f>
        <v>22559.079123575495</v>
      </c>
      <c r="H23" s="519">
        <v>16975.940539472325</v>
      </c>
      <c r="I23" s="519">
        <v>0</v>
      </c>
      <c r="J23" s="519">
        <v>354.44485281887989</v>
      </c>
      <c r="K23" s="519">
        <v>3466.6954237226737</v>
      </c>
      <c r="L23" s="519">
        <v>20797.08081601388</v>
      </c>
      <c r="M23" s="1412">
        <f t="shared" si="0"/>
        <v>8.4723347625060202E-2</v>
      </c>
    </row>
    <row r="24" spans="1:13">
      <c r="A24" s="413">
        <v>2017</v>
      </c>
      <c r="B24" s="471">
        <f>'Output data (results)'!Q27</f>
        <v>17598.553672728915</v>
      </c>
      <c r="C24" s="471">
        <f>'Output data (results)'!R27</f>
        <v>751.39711693352467</v>
      </c>
      <c r="D24" s="471">
        <f>'Output data (results)'!S27</f>
        <v>321.35014174830235</v>
      </c>
      <c r="E24" s="471">
        <f>'Output data (results)'!T27</f>
        <v>3637.7950868788384</v>
      </c>
      <c r="F24" s="471">
        <f>'Output data (results)'!U27</f>
        <v>22309.09601828958</v>
      </c>
      <c r="H24" s="471">
        <v>17365.956871268652</v>
      </c>
      <c r="I24" s="471">
        <v>0</v>
      </c>
      <c r="J24" s="471">
        <v>360.18226950119993</v>
      </c>
      <c r="K24" s="471">
        <v>3522.810997128257</v>
      </c>
      <c r="L24" s="471">
        <v>21248.950137898111</v>
      </c>
      <c r="M24" s="1412">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6" customWidth="1"/>
    <col min="7" max="7" width="11.85546875" style="1226" customWidth="1"/>
    <col min="8" max="8" width="13.85546875" style="1226" customWidth="1"/>
    <col min="9" max="9" width="11.42578125" style="1226" bestFit="1" customWidth="1"/>
    <col min="10" max="10" width="16.42578125" customWidth="1"/>
    <col min="11" max="11" width="10.140625" customWidth="1"/>
    <col min="12" max="12" width="25.28515625" customWidth="1"/>
    <col min="13" max="13" width="17.28515625" customWidth="1"/>
    <col min="14" max="14" width="15.5703125" style="1226" customWidth="1"/>
    <col min="15" max="15" width="11.85546875" style="1226" customWidth="1"/>
    <col min="16" max="16" width="13.85546875" style="1226" customWidth="1"/>
    <col min="17" max="17" width="12.42578125" style="1226"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5" t="s">
        <v>483</v>
      </c>
      <c r="B2" s="410"/>
    </row>
    <row r="3" spans="1:54" ht="31.9" customHeight="1" thickBot="1">
      <c r="B3" s="1788"/>
      <c r="C3" s="1788"/>
      <c r="E3" s="1227"/>
      <c r="J3" s="1227"/>
      <c r="K3" s="1227"/>
      <c r="M3" s="1227"/>
      <c r="R3" s="1227"/>
      <c r="S3" s="1227"/>
      <c r="T3" s="1227"/>
      <c r="U3" s="1227"/>
      <c r="V3" s="1227"/>
      <c r="W3" s="1227"/>
      <c r="X3" s="1227"/>
      <c r="AL3" s="545" t="s">
        <v>522</v>
      </c>
    </row>
    <row r="4" spans="1:54" ht="50.45" customHeight="1" thickBot="1">
      <c r="A4" s="1786" t="s">
        <v>217</v>
      </c>
      <c r="B4" s="524" t="s">
        <v>354</v>
      </c>
      <c r="C4" s="1352" t="s">
        <v>484</v>
      </c>
      <c r="D4" s="1789" t="s">
        <v>481</v>
      </c>
      <c r="E4" s="1790"/>
      <c r="F4" s="1790"/>
      <c r="G4" s="1790"/>
      <c r="H4" s="1790"/>
      <c r="I4" s="1790"/>
      <c r="J4" s="1790"/>
      <c r="K4" s="1791"/>
      <c r="L4" s="1789" t="s">
        <v>737</v>
      </c>
      <c r="M4" s="1790"/>
      <c r="N4" s="1790"/>
      <c r="O4" s="1790"/>
      <c r="P4" s="1790"/>
      <c r="Q4" s="1790"/>
      <c r="R4" s="1790"/>
      <c r="S4" s="1790"/>
      <c r="T4" s="1792" t="s">
        <v>485</v>
      </c>
      <c r="U4" s="1793"/>
      <c r="V4" s="1793"/>
      <c r="W4" s="1793"/>
      <c r="X4" s="1794"/>
      <c r="Y4" s="1792" t="s">
        <v>492</v>
      </c>
      <c r="Z4" s="1794"/>
      <c r="AA4" s="443" t="s">
        <v>475</v>
      </c>
      <c r="AB4" s="444" t="s">
        <v>479</v>
      </c>
      <c r="AC4" s="1795" t="s">
        <v>485</v>
      </c>
      <c r="AD4" s="1796"/>
      <c r="AE4" s="1796"/>
      <c r="AF4" s="1796"/>
      <c r="AG4" s="1797"/>
      <c r="AH4" s="1795" t="s">
        <v>492</v>
      </c>
      <c r="AI4" s="1798"/>
      <c r="AK4" s="1799" t="s">
        <v>217</v>
      </c>
      <c r="AL4" s="1780" t="s">
        <v>525</v>
      </c>
      <c r="AM4" s="1781"/>
      <c r="AN4" s="1781"/>
      <c r="AO4" s="1781"/>
      <c r="AP4" s="1781"/>
      <c r="AQ4" s="1782"/>
      <c r="AS4" s="1780" t="s">
        <v>526</v>
      </c>
      <c r="AT4" s="1781"/>
      <c r="AU4" s="1781"/>
      <c r="AV4" s="1781"/>
      <c r="AW4" s="1781"/>
      <c r="AX4" s="1782"/>
      <c r="AZ4" s="1783" t="s">
        <v>623</v>
      </c>
      <c r="BA4" s="1784"/>
      <c r="BB4" s="1785"/>
    </row>
    <row r="5" spans="1:54" ht="43.9" customHeight="1" thickBot="1">
      <c r="A5" s="1787"/>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6"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28" t="s">
        <v>491</v>
      </c>
      <c r="AI5" s="1229" t="s">
        <v>370</v>
      </c>
      <c r="AK5" s="1800"/>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3" t="s">
        <v>738</v>
      </c>
      <c r="BA5" s="1154" t="s">
        <v>739</v>
      </c>
      <c r="BB5" s="1155" t="s">
        <v>740</v>
      </c>
    </row>
    <row r="6" spans="1:54" ht="15.6" customHeight="1">
      <c r="A6" s="632">
        <f>'Input data'!A50</f>
        <v>1950</v>
      </c>
      <c r="B6" s="1649">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28.06789123869763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1">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0">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28.06789123869763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1">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0">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28.06789123869763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1">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0">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28.06789123869763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1">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0">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28.06789123869763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1">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0">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28.06789123869763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1">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0">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28.06789123869763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1">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0">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28.06789123869763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1">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0">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28.06789123869763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1">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0">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28.06789123869763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1">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0">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28.06789123869763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1">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0">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28.06789123869763</v>
      </c>
      <c r="AB17" s="236">
        <f>'Input data'!L61</f>
        <v>16829.35262096622</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1">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14887.864982248273</v>
      </c>
      <c r="AT17" s="775">
        <f t="shared" si="12"/>
        <v>1169.4822604950132</v>
      </c>
      <c r="AU17" s="775">
        <f t="shared" si="13"/>
        <v>325.98566735873112</v>
      </c>
      <c r="AV17" s="419">
        <f t="shared" si="14"/>
        <v>0</v>
      </c>
      <c r="AW17" s="775">
        <f t="shared" si="15"/>
        <v>446.01971086420332</v>
      </c>
      <c r="AX17" s="530">
        <f t="shared" si="16"/>
        <v>16829.35262096622</v>
      </c>
      <c r="AZ17" s="684">
        <f t="shared" si="22"/>
        <v>21.256545797372222</v>
      </c>
      <c r="BA17" s="417">
        <f t="shared" si="17"/>
        <v>0.13299085848410139</v>
      </c>
      <c r="BB17" s="205">
        <f>'Input data'!D61/10^6</f>
        <v>0</v>
      </c>
    </row>
    <row r="18" spans="1:54">
      <c r="A18" s="542">
        <f>'Input data'!A62</f>
        <v>1962</v>
      </c>
      <c r="B18" s="1230">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28.06789123869763</v>
      </c>
      <c r="AB18" s="236">
        <f>'Input data'!L62</f>
        <v>17869.050351534835</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1">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15807.619876193017</v>
      </c>
      <c r="AT18" s="775">
        <f t="shared" si="12"/>
        <v>1241.7315073651589</v>
      </c>
      <c r="AU18" s="775">
        <f t="shared" si="13"/>
        <v>346.12468079460916</v>
      </c>
      <c r="AV18" s="419">
        <f t="shared" si="14"/>
        <v>0</v>
      </c>
      <c r="AW18" s="775">
        <f t="shared" si="15"/>
        <v>473.57428718205091</v>
      </c>
      <c r="AX18" s="530">
        <f t="shared" si="16"/>
        <v>17869.050351534835</v>
      </c>
      <c r="AZ18" s="684">
        <f t="shared" si="22"/>
        <v>22.415549527662836</v>
      </c>
      <c r="BA18" s="417">
        <f t="shared" si="17"/>
        <v>0.13252988988297007</v>
      </c>
      <c r="BB18" s="205">
        <f>'Input data'!D62/10^6</f>
        <v>0</v>
      </c>
    </row>
    <row r="19" spans="1:54">
      <c r="A19" s="542">
        <f>'Input data'!A63</f>
        <v>1963</v>
      </c>
      <c r="B19" s="1230">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28.06789123869763</v>
      </c>
      <c r="AB19" s="236">
        <f>'Input data'!L63</f>
        <v>19186.644932813691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1">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16973.212556388185</v>
      </c>
      <c r="AT19" s="775">
        <f t="shared" si="12"/>
        <v>1333.291980547609</v>
      </c>
      <c r="AU19" s="775">
        <f t="shared" si="13"/>
        <v>371.64657450972084</v>
      </c>
      <c r="AV19" s="419">
        <f t="shared" si="14"/>
        <v>0</v>
      </c>
      <c r="AW19" s="775">
        <f t="shared" si="15"/>
        <v>508.49382136817917</v>
      </c>
      <c r="AX19" s="530">
        <f t="shared" si="16"/>
        <v>19186.644932813691</v>
      </c>
      <c r="AZ19" s="684">
        <f t="shared" si="22"/>
        <v>23.852450108663692</v>
      </c>
      <c r="BA19" s="417">
        <f t="shared" si="17"/>
        <v>0.1319190857652229</v>
      </c>
      <c r="BB19" s="205">
        <f>'Input data'!D63/10^6</f>
        <v>0</v>
      </c>
    </row>
    <row r="20" spans="1:54">
      <c r="A20" s="542">
        <f>'Input data'!A64</f>
        <v>1964</v>
      </c>
      <c r="B20" s="1230">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28.06789123869763</v>
      </c>
      <c r="AB20" s="236">
        <f>'Input data'!L64</f>
        <v>20710.02265008535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1">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18320.848575580698</v>
      </c>
      <c r="AT20" s="775">
        <f t="shared" si="12"/>
        <v>1439.1524528133752</v>
      </c>
      <c r="AU20" s="775">
        <f t="shared" si="13"/>
        <v>401.15450110611005</v>
      </c>
      <c r="AV20" s="419">
        <f t="shared" si="14"/>
        <v>0</v>
      </c>
      <c r="AW20" s="775">
        <f t="shared" si="15"/>
        <v>548.86712058516741</v>
      </c>
      <c r="AX20" s="530">
        <f t="shared" si="16"/>
        <v>20710.02265008535</v>
      </c>
      <c r="AZ20" s="684">
        <f t="shared" si="22"/>
        <v>25.495133825657348</v>
      </c>
      <c r="BA20" s="417">
        <f t="shared" si="17"/>
        <v>0.13124843087709409</v>
      </c>
      <c r="BB20" s="205">
        <f>'Input data'!D64/10^6</f>
        <v>0</v>
      </c>
    </row>
    <row r="21" spans="1:54">
      <c r="A21" s="542">
        <f>'Input data'!A65</f>
        <v>1965</v>
      </c>
      <c r="B21" s="1230">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28.06789123869763</v>
      </c>
      <c r="AB21" s="236">
        <f>'Input data'!L65</f>
        <v>21978.047804167603</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1">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19442.590315340341</v>
      </c>
      <c r="AT21" s="775">
        <f t="shared" si="12"/>
        <v>1527.2683154350423</v>
      </c>
      <c r="AU21" s="775">
        <f t="shared" si="13"/>
        <v>425.71623175558227</v>
      </c>
      <c r="AV21" s="419">
        <f t="shared" si="14"/>
        <v>0</v>
      </c>
      <c r="AW21" s="775">
        <f t="shared" si="15"/>
        <v>582.47294163663889</v>
      </c>
      <c r="AX21" s="530">
        <f t="shared" si="16"/>
        <v>21978.047804167603</v>
      </c>
      <c r="AZ21" s="684">
        <f t="shared" si="22"/>
        <v>26.882464979461606</v>
      </c>
      <c r="BA21" s="417">
        <f t="shared" si="17"/>
        <v>0.1308042594521214</v>
      </c>
      <c r="BB21" s="205">
        <f>'Input data'!D65/10^6</f>
        <v>0</v>
      </c>
    </row>
    <row r="22" spans="1:54">
      <c r="A22" s="542">
        <f>'Input data'!A66</f>
        <v>1966</v>
      </c>
      <c r="B22" s="1230">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28.06789123869763</v>
      </c>
      <c r="AB22" s="236">
        <f>'Input data'!L66</f>
        <v>22953.50131678519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1">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20305.512408625036</v>
      </c>
      <c r="AT22" s="775">
        <f t="shared" si="12"/>
        <v>1595.0531913382677</v>
      </c>
      <c r="AU22" s="775">
        <f t="shared" si="13"/>
        <v>444.61083046355122</v>
      </c>
      <c r="AV22" s="419">
        <f t="shared" si="14"/>
        <v>0</v>
      </c>
      <c r="AW22" s="775">
        <f t="shared" si="15"/>
        <v>608.32488635833602</v>
      </c>
      <c r="AX22" s="530">
        <f t="shared" si="16"/>
        <v>22953.501316785194</v>
      </c>
      <c r="AZ22" s="684">
        <f t="shared" si="22"/>
        <v>28.012025147145192</v>
      </c>
      <c r="BA22" s="417">
        <f t="shared" si="17"/>
        <v>0.13064723649961199</v>
      </c>
      <c r="BB22" s="205">
        <f>'Input data'!D66/10^6</f>
        <v>0</v>
      </c>
    </row>
    <row r="23" spans="1:54">
      <c r="A23" s="542">
        <f>'Input data'!A67</f>
        <v>1967</v>
      </c>
      <c r="B23" s="1230">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28.06789123869763</v>
      </c>
      <c r="AB23" s="236">
        <f>'Input data'!L67</f>
        <v>24605.367470166071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1">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21766.814029320914</v>
      </c>
      <c r="AT23" s="775">
        <f t="shared" si="12"/>
        <v>1709.8424055522703</v>
      </c>
      <c r="AU23" s="775">
        <f t="shared" si="13"/>
        <v>476.60758651977147</v>
      </c>
      <c r="AV23" s="419">
        <f t="shared" si="14"/>
        <v>0</v>
      </c>
      <c r="AW23" s="775">
        <f t="shared" si="15"/>
        <v>652.1034487731157</v>
      </c>
      <c r="AX23" s="530">
        <f t="shared" si="16"/>
        <v>24605.367470166071</v>
      </c>
      <c r="AZ23" s="684">
        <f t="shared" si="22"/>
        <v>29.819626339767673</v>
      </c>
      <c r="BA23" s="417">
        <f t="shared" si="17"/>
        <v>0.13016277167729648</v>
      </c>
      <c r="BB23" s="205">
        <f>'Input data'!D67/10^6</f>
        <v>0</v>
      </c>
    </row>
    <row r="24" spans="1:54">
      <c r="A24" s="542">
        <f>'Input data'!A68</f>
        <v>1968</v>
      </c>
      <c r="B24" s="1230">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28.06789123869763</v>
      </c>
      <c r="AB24" s="236">
        <f>'Input data'!L68</f>
        <v>25627.337829321325</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1">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22670.886637794767</v>
      </c>
      <c r="AT24" s="775">
        <f t="shared" si="12"/>
        <v>1780.8597662732536</v>
      </c>
      <c r="AU24" s="775">
        <f t="shared" si="13"/>
        <v>496.40321960520743</v>
      </c>
      <c r="AV24" s="419">
        <f t="shared" si="14"/>
        <v>0</v>
      </c>
      <c r="AW24" s="775">
        <f t="shared" si="15"/>
        <v>679.18820564809766</v>
      </c>
      <c r="AX24" s="530">
        <f t="shared" si="16"/>
        <v>25627.337829321325</v>
      </c>
      <c r="AZ24" s="684">
        <f t="shared" si="22"/>
        <v>30.998465076698125</v>
      </c>
      <c r="BA24" s="417">
        <f t="shared" si="17"/>
        <v>0.13002826530374947</v>
      </c>
      <c r="BB24" s="205">
        <f>'Input data'!D68/10^6</f>
        <v>0</v>
      </c>
    </row>
    <row r="25" spans="1:54">
      <c r="A25" s="542">
        <f>'Input data'!A69</f>
        <v>1969</v>
      </c>
      <c r="B25" s="1230">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28.06789123869763</v>
      </c>
      <c r="AB25" s="236">
        <f>'Input data'!L69</f>
        <v>26835.879670948296</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1">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23740.007249191585</v>
      </c>
      <c r="AT25" s="775">
        <f t="shared" si="12"/>
        <v>1864.8420962345335</v>
      </c>
      <c r="AU25" s="775">
        <f t="shared" si="13"/>
        <v>519.81275457941126</v>
      </c>
      <c r="AV25" s="419">
        <f t="shared" si="14"/>
        <v>0</v>
      </c>
      <c r="AW25" s="775">
        <f t="shared" si="15"/>
        <v>711.21757094276859</v>
      </c>
      <c r="AX25" s="530">
        <f t="shared" si="16"/>
        <v>26835.879670948299</v>
      </c>
      <c r="AZ25" s="684">
        <f t="shared" si="22"/>
        <v>32.365008634633902</v>
      </c>
      <c r="BA25" s="417">
        <f t="shared" si="17"/>
        <v>0.12982224914340312</v>
      </c>
      <c r="BB25" s="205">
        <f>'Input data'!D69/10^6</f>
        <v>0</v>
      </c>
    </row>
    <row r="26" spans="1:54">
      <c r="A26" s="542">
        <f>'Input data'!A70</f>
        <v>1970</v>
      </c>
      <c r="B26" s="1230">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28.06789123869763</v>
      </c>
      <c r="AB26" s="236">
        <f>'Input data'!L70</f>
        <v>28244.407546137089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1">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24986.042869327033</v>
      </c>
      <c r="AT26" s="775">
        <f t="shared" si="12"/>
        <v>1962.7215809981878</v>
      </c>
      <c r="AU26" s="775">
        <f t="shared" si="13"/>
        <v>547.09603217945198</v>
      </c>
      <c r="AV26" s="419">
        <f t="shared" si="14"/>
        <v>0</v>
      </c>
      <c r="AW26" s="775">
        <f t="shared" si="15"/>
        <v>748.54706363241712</v>
      </c>
      <c r="AX26" s="530">
        <f t="shared" si="16"/>
        <v>28244.407546137089</v>
      </c>
      <c r="AZ26" s="684">
        <f t="shared" si="22"/>
        <v>33.932671564665085</v>
      </c>
      <c r="BA26" s="417">
        <f t="shared" si="17"/>
        <v>0.12955117524826223</v>
      </c>
      <c r="BB26" s="205">
        <f>'Input data'!D70/10^6</f>
        <v>0</v>
      </c>
    </row>
    <row r="27" spans="1:54">
      <c r="A27" s="542">
        <f>'Input data'!A71</f>
        <v>1971</v>
      </c>
      <c r="B27" s="1230">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28.06789123869763</v>
      </c>
      <c r="AB27" s="236">
        <f>'Input data'!L71</f>
        <v>29452.977392882538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1">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26055.188255082801</v>
      </c>
      <c r="AT27" s="775">
        <f t="shared" si="12"/>
        <v>2046.7058570527015</v>
      </c>
      <c r="AU27" s="775">
        <f t="shared" si="13"/>
        <v>570.50610961464304</v>
      </c>
      <c r="AV27" s="419">
        <f t="shared" si="14"/>
        <v>0</v>
      </c>
      <c r="AW27" s="775">
        <f t="shared" si="15"/>
        <v>780.57717113239607</v>
      </c>
      <c r="AX27" s="530">
        <f t="shared" si="16"/>
        <v>29452.977392882542</v>
      </c>
      <c r="AZ27" s="684">
        <f t="shared" si="22"/>
        <v>41.356191861482536</v>
      </c>
      <c r="BA27" s="417">
        <f t="shared" si="17"/>
        <v>0.13972350381954612</v>
      </c>
      <c r="BB27" s="205">
        <f>'Input data'!D71/10^6</f>
        <v>0</v>
      </c>
    </row>
    <row r="28" spans="1:54">
      <c r="A28" s="542">
        <f>'Input data'!A72</f>
        <v>1972</v>
      </c>
      <c r="B28" s="1230">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28.06789123869763</v>
      </c>
      <c r="AB28" s="236">
        <f>'Input data'!L72</f>
        <v>29940.354082724269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1">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26486.339620038998</v>
      </c>
      <c r="AT28" s="775">
        <f t="shared" si="12"/>
        <v>2080.5739686661332</v>
      </c>
      <c r="AU28" s="775">
        <f t="shared" si="13"/>
        <v>579.94662815813194</v>
      </c>
      <c r="AV28" s="419">
        <f t="shared" si="14"/>
        <v>0</v>
      </c>
      <c r="AW28" s="775">
        <f t="shared" si="15"/>
        <v>793.4938658610065</v>
      </c>
      <c r="AX28" s="530">
        <f t="shared" si="16"/>
        <v>29940.354082724272</v>
      </c>
      <c r="AZ28" s="684">
        <f t="shared" si="22"/>
        <v>42.119530164524271</v>
      </c>
      <c r="BA28" s="417">
        <f t="shared" si="17"/>
        <v>0.13983654746476915</v>
      </c>
      <c r="BB28" s="205">
        <f>'Input data'!D72/10^6</f>
        <v>0</v>
      </c>
    </row>
    <row r="29" spans="1:54">
      <c r="A29" s="542">
        <f>'Input data'!A73</f>
        <v>1973</v>
      </c>
      <c r="B29" s="1230">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28.06789123869763</v>
      </c>
      <c r="AB29" s="236">
        <f>'Input data'!L73</f>
        <v>31309.226415992067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1">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27697.294487681203</v>
      </c>
      <c r="AT29" s="775">
        <f t="shared" si="12"/>
        <v>2175.6977649697847</v>
      </c>
      <c r="AU29" s="775">
        <f t="shared" si="13"/>
        <v>606.46177530248997</v>
      </c>
      <c r="AV29" s="419">
        <f t="shared" si="14"/>
        <v>0</v>
      </c>
      <c r="AW29" s="775">
        <f t="shared" si="15"/>
        <v>829.77238803859086</v>
      </c>
      <c r="AX29" s="530">
        <f t="shared" si="16"/>
        <v>31309.226415992067</v>
      </c>
      <c r="AZ29" s="684">
        <f t="shared" si="22"/>
        <v>43.767523976792077</v>
      </c>
      <c r="BA29" s="417">
        <f t="shared" si="17"/>
        <v>0.13945480314827324</v>
      </c>
      <c r="BB29" s="205">
        <f>'Input data'!D73/10^6</f>
        <v>0</v>
      </c>
    </row>
    <row r="30" spans="1:54">
      <c r="A30" s="542">
        <f>'Input data'!A74</f>
        <v>1974</v>
      </c>
      <c r="B30" s="1230">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28.06789123869763</v>
      </c>
      <c r="AB30" s="236">
        <f>'Input data'!L74</f>
        <v>33222.550293591143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1">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29389.891238046956</v>
      </c>
      <c r="AT30" s="775">
        <f t="shared" si="12"/>
        <v>2308.6558402938476</v>
      </c>
      <c r="AU30" s="775">
        <f t="shared" si="13"/>
        <v>643.52298467637263</v>
      </c>
      <c r="AV30" s="419">
        <f t="shared" si="14"/>
        <v>0</v>
      </c>
      <c r="AW30" s="775">
        <f t="shared" si="15"/>
        <v>880.48023057396949</v>
      </c>
      <c r="AX30" s="530">
        <f t="shared" si="16"/>
        <v>33222.550293591143</v>
      </c>
      <c r="AZ30" s="684">
        <f t="shared" si="22"/>
        <v>45.962075910591139</v>
      </c>
      <c r="BA30" s="417">
        <f t="shared" si="17"/>
        <v>0.13882236719151098</v>
      </c>
      <c r="BB30" s="205">
        <f>'Input data'!D74/10^6</f>
        <v>0</v>
      </c>
    </row>
    <row r="31" spans="1:54">
      <c r="A31" s="542">
        <f>'Input data'!A75</f>
        <v>1975</v>
      </c>
      <c r="B31" s="1230">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28.06789123869763</v>
      </c>
      <c r="AB31" s="236">
        <f>'Input data'!L75</f>
        <v>33785.821416896746</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1">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29888.181613264711</v>
      </c>
      <c r="AT31" s="775">
        <f t="shared" si="12"/>
        <v>2347.7979036513143</v>
      </c>
      <c r="AU31" s="775">
        <f t="shared" si="13"/>
        <v>654.43358338864425</v>
      </c>
      <c r="AV31" s="419">
        <f t="shared" si="14"/>
        <v>0</v>
      </c>
      <c r="AW31" s="775">
        <f t="shared" si="15"/>
        <v>895.40831659208141</v>
      </c>
      <c r="AX31" s="530">
        <f t="shared" si="16"/>
        <v>33785.821416896753</v>
      </c>
      <c r="AZ31" s="684">
        <f t="shared" si="22"/>
        <v>46.808681667296753</v>
      </c>
      <c r="BA31" s="417">
        <f t="shared" si="17"/>
        <v>0.13891038205108996</v>
      </c>
      <c r="BB31" s="205">
        <f>'Input data'!D75/10^6</f>
        <v>0</v>
      </c>
    </row>
    <row r="32" spans="1:54">
      <c r="A32" s="542">
        <f>'Input data'!A76</f>
        <v>1976</v>
      </c>
      <c r="B32" s="1230">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28.06789123869763</v>
      </c>
      <c r="AB32" s="236">
        <f>'Input data'!L76</f>
        <v>34545.969982632712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1">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30560.637023048439</v>
      </c>
      <c r="AT32" s="775">
        <f t="shared" si="12"/>
        <v>2400.6211038652923</v>
      </c>
      <c r="AU32" s="775">
        <f t="shared" si="13"/>
        <v>669.15771111204299</v>
      </c>
      <c r="AV32" s="419">
        <f t="shared" si="14"/>
        <v>0</v>
      </c>
      <c r="AW32" s="775">
        <f t="shared" si="15"/>
        <v>915.55414460693987</v>
      </c>
      <c r="AX32" s="530">
        <f t="shared" si="16"/>
        <v>34545.969982632712</v>
      </c>
      <c r="AZ32" s="684">
        <f t="shared" si="22"/>
        <v>47.853218155032714</v>
      </c>
      <c r="BA32" s="417">
        <f t="shared" si="17"/>
        <v>0.13889938546098041</v>
      </c>
      <c r="BB32" s="205">
        <f>'Input data'!D76/10^6</f>
        <v>0</v>
      </c>
    </row>
    <row r="33" spans="1:54">
      <c r="A33" s="542">
        <f>'Input data'!A77</f>
        <v>1977</v>
      </c>
      <c r="B33" s="1230">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28.06789123869763</v>
      </c>
      <c r="AB33" s="236">
        <f>'Input data'!L77</f>
        <v>34513.48380436466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1">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30531.898553617269</v>
      </c>
      <c r="AT33" s="775">
        <f t="shared" si="12"/>
        <v>2398.3636189785339</v>
      </c>
      <c r="AU33" s="775">
        <f t="shared" si="13"/>
        <v>668.52845170194223</v>
      </c>
      <c r="AV33" s="419">
        <f t="shared" si="14"/>
        <v>0</v>
      </c>
      <c r="AW33" s="775">
        <f t="shared" si="15"/>
        <v>914.69318006691663</v>
      </c>
      <c r="AX33" s="530">
        <f t="shared" si="16"/>
        <v>34513.48380436466</v>
      </c>
      <c r="AZ33" s="684">
        <f t="shared" si="22"/>
        <v>48.104066610164665</v>
      </c>
      <c r="BA33" s="417">
        <f t="shared" si="17"/>
        <v>0.13927516495022704</v>
      </c>
      <c r="BB33" s="205">
        <f>'Input data'!D77/10^6</f>
        <v>0</v>
      </c>
    </row>
    <row r="34" spans="1:54">
      <c r="A34" s="542">
        <f>'Input data'!A78</f>
        <v>1978</v>
      </c>
      <c r="B34" s="1230">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28.06789123869763</v>
      </c>
      <c r="AB34" s="236">
        <f>'Input data'!L78</f>
        <v>35553.909673519709</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1">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31452.297585765507</v>
      </c>
      <c r="AT34" s="775">
        <f t="shared" si="12"/>
        <v>2470.6634646553712</v>
      </c>
      <c r="AU34" s="775">
        <f t="shared" si="13"/>
        <v>688.68156923013896</v>
      </c>
      <c r="AV34" s="419">
        <f t="shared" si="14"/>
        <v>0</v>
      </c>
      <c r="AW34" s="775">
        <f t="shared" si="15"/>
        <v>942.26705386869628</v>
      </c>
      <c r="AX34" s="530">
        <f t="shared" si="16"/>
        <v>35553.909673519709</v>
      </c>
      <c r="AZ34" s="684">
        <f t="shared" si="22"/>
        <v>49.43362020001971</v>
      </c>
      <c r="BA34" s="417">
        <f t="shared" si="17"/>
        <v>0.13912705897779784</v>
      </c>
      <c r="BB34" s="205">
        <f>'Input data'!D78/10^6</f>
        <v>0</v>
      </c>
    </row>
    <row r="35" spans="1:54">
      <c r="A35" s="542">
        <f>'Input data'!A79</f>
        <v>1979</v>
      </c>
      <c r="B35" s="1230">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28.06789123869763</v>
      </c>
      <c r="AB35" s="236">
        <f>'Input data'!L79</f>
        <v>36901.581975009511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1">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32644.49812471553</v>
      </c>
      <c r="AT35" s="775">
        <f t="shared" si="12"/>
        <v>2564.3140574648241</v>
      </c>
      <c r="AU35" s="775">
        <f t="shared" si="13"/>
        <v>714.7860703643488</v>
      </c>
      <c r="AV35" s="419">
        <f t="shared" si="14"/>
        <v>0</v>
      </c>
      <c r="AW35" s="775">
        <f t="shared" si="15"/>
        <v>977.98372246480938</v>
      </c>
      <c r="AX35" s="530">
        <f t="shared" si="16"/>
        <v>36901.581975009503</v>
      </c>
      <c r="AZ35" s="684">
        <f t="shared" si="22"/>
        <v>51.089906061309506</v>
      </c>
      <c r="BA35" s="417">
        <f t="shared" si="17"/>
        <v>0.13886791373309737</v>
      </c>
      <c r="BB35" s="205">
        <f>'Input data'!D79/10^6</f>
        <v>0</v>
      </c>
    </row>
    <row r="36" spans="1:54">
      <c r="A36" s="542">
        <f>'Input data'!A80</f>
        <v>1980</v>
      </c>
      <c r="B36" s="1230">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28.06789123869763</v>
      </c>
      <c r="AB36" s="236">
        <f>'Input data'!L80</f>
        <v>39344.68260589998</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1">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34805.754897327774</v>
      </c>
      <c r="AT36" s="775">
        <f t="shared" si="12"/>
        <v>2734.0866513833262</v>
      </c>
      <c r="AU36" s="775">
        <f t="shared" si="13"/>
        <v>762.10909029995707</v>
      </c>
      <c r="AV36" s="419">
        <f t="shared" si="14"/>
        <v>0</v>
      </c>
      <c r="AW36" s="775">
        <f t="shared" si="15"/>
        <v>1042.7319668889231</v>
      </c>
      <c r="AX36" s="530">
        <f t="shared" si="16"/>
        <v>39344.68260589998</v>
      </c>
      <c r="AZ36" s="684">
        <f t="shared" si="22"/>
        <v>53.867425822699978</v>
      </c>
      <c r="BA36" s="417">
        <f t="shared" si="17"/>
        <v>0.13818140069346865</v>
      </c>
      <c r="BB36" s="205">
        <f>'Input data'!D80/10^6</f>
        <v>0</v>
      </c>
    </row>
    <row r="37" spans="1:54">
      <c r="A37" s="542">
        <f>'Input data'!A81</f>
        <v>1981</v>
      </c>
      <c r="B37" s="1230">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28.06789123869763</v>
      </c>
      <c r="AB37" s="236">
        <f>'Input data'!L81</f>
        <v>41453.847728741246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1">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36671.600024074251</v>
      </c>
      <c r="AT37" s="775">
        <f t="shared" si="12"/>
        <v>2880.6538575719164</v>
      </c>
      <c r="AU37" s="775">
        <f t="shared" si="13"/>
        <v>802.96375747726745</v>
      </c>
      <c r="AV37" s="419">
        <f t="shared" si="14"/>
        <v>0</v>
      </c>
      <c r="AW37" s="775">
        <f t="shared" si="15"/>
        <v>1098.6300896178122</v>
      </c>
      <c r="AX37" s="530">
        <f t="shared" si="16"/>
        <v>41453.847728741246</v>
      </c>
      <c r="AZ37" s="684">
        <f t="shared" si="22"/>
        <v>56.334182425241245</v>
      </c>
      <c r="BA37" s="417">
        <f t="shared" si="17"/>
        <v>0.13771948593134786</v>
      </c>
      <c r="BB37" s="205">
        <f>'Input data'!D81/10^6</f>
        <v>0</v>
      </c>
    </row>
    <row r="38" spans="1:54">
      <c r="A38" s="542">
        <f>'Input data'!A82</f>
        <v>1982</v>
      </c>
      <c r="B38" s="1230">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28.06789123869763</v>
      </c>
      <c r="AB38" s="236">
        <f>'Input data'!L82</f>
        <v>41294.917503153934</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1">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36531.004494737346</v>
      </c>
      <c r="AT38" s="775">
        <f t="shared" si="12"/>
        <v>2869.6096965951433</v>
      </c>
      <c r="AU38" s="775">
        <f t="shared" si="13"/>
        <v>799.88526855268401</v>
      </c>
      <c r="AV38" s="419">
        <f t="shared" si="14"/>
        <v>0</v>
      </c>
      <c r="AW38" s="775">
        <f t="shared" si="15"/>
        <v>1094.418043268761</v>
      </c>
      <c r="AX38" s="530">
        <f t="shared" si="16"/>
        <v>41294.917503153942</v>
      </c>
      <c r="AZ38" s="684">
        <f t="shared" si="22"/>
        <v>56.552856162753947</v>
      </c>
      <c r="BA38" s="417">
        <f t="shared" si="17"/>
        <v>0.13819816134209562</v>
      </c>
      <c r="BB38" s="205">
        <f>'Input data'!D82/10^6</f>
        <v>0</v>
      </c>
    </row>
    <row r="39" spans="1:54">
      <c r="A39" s="542">
        <f>'Input data'!A83</f>
        <v>1983</v>
      </c>
      <c r="B39" s="1230">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28.06789123869763</v>
      </c>
      <c r="AB39" s="236">
        <f>'Input data'!L83</f>
        <v>40532.38848471774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1">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35856.443248847158</v>
      </c>
      <c r="AT39" s="775">
        <f t="shared" si="12"/>
        <v>2816.6210772312093</v>
      </c>
      <c r="AU39" s="775">
        <f t="shared" si="13"/>
        <v>785.1150313038878</v>
      </c>
      <c r="AV39" s="419">
        <f t="shared" si="14"/>
        <v>0</v>
      </c>
      <c r="AW39" s="775">
        <f t="shared" si="15"/>
        <v>1074.2091273354904</v>
      </c>
      <c r="AX39" s="530">
        <f t="shared" si="16"/>
        <v>40532.388484717747</v>
      </c>
      <c r="AZ39" s="684">
        <f t="shared" si="22"/>
        <v>56.186363657917745</v>
      </c>
      <c r="BA39" s="417">
        <f t="shared" si="17"/>
        <v>0.13894368245720184</v>
      </c>
      <c r="BB39" s="205">
        <f>'Input data'!D83/10^6</f>
        <v>0</v>
      </c>
    </row>
    <row r="40" spans="1:54">
      <c r="A40" s="542">
        <f>'Input data'!A84</f>
        <v>1984</v>
      </c>
      <c r="B40" s="1230">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28.06789123869763</v>
      </c>
      <c r="AB40" s="236">
        <f>'Input data'!L84</f>
        <v>42599.181549321096</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1">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37684.804492744799</v>
      </c>
      <c r="AT40" s="775">
        <f t="shared" si="12"/>
        <v>2960.2438225385076</v>
      </c>
      <c r="AU40" s="775">
        <f t="shared" si="13"/>
        <v>825.14894892575535</v>
      </c>
      <c r="AV40" s="419">
        <f t="shared" si="14"/>
        <v>0</v>
      </c>
      <c r="AW40" s="775">
        <f t="shared" si="15"/>
        <v>1128.984285112035</v>
      </c>
      <c r="AX40" s="530">
        <f t="shared" si="16"/>
        <v>42599.181549321096</v>
      </c>
      <c r="AZ40" s="684">
        <f t="shared" si="22"/>
        <v>58.664465920821094</v>
      </c>
      <c r="BA40" s="417">
        <f t="shared" si="17"/>
        <v>0.13854100268884781</v>
      </c>
      <c r="BB40" s="205">
        <f>'Input data'!D84/10^6</f>
        <v>0</v>
      </c>
    </row>
    <row r="41" spans="1:54">
      <c r="A41" s="542">
        <f>'Input data'!A85</f>
        <v>1985</v>
      </c>
      <c r="B41" s="1230">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28.06789123869763</v>
      </c>
      <c r="AB41" s="236">
        <f>'Input data'!L85</f>
        <v>42083.099400423816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1">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37228.259221778215</v>
      </c>
      <c r="AT41" s="775">
        <f t="shared" si="12"/>
        <v>2924.3809505857503</v>
      </c>
      <c r="AU41" s="775">
        <f t="shared" si="13"/>
        <v>815.15240375202018</v>
      </c>
      <c r="AV41" s="419">
        <f t="shared" si="14"/>
        <v>0</v>
      </c>
      <c r="AW41" s="775">
        <f t="shared" si="15"/>
        <v>1115.3068243078342</v>
      </c>
      <c r="AX41" s="530">
        <f t="shared" si="16"/>
        <v>42083.099400423816</v>
      </c>
      <c r="AZ41" s="684">
        <f t="shared" si="22"/>
        <v>58.571279144823812</v>
      </c>
      <c r="BA41" s="417">
        <f t="shared" si="17"/>
        <v>0.13918897190836005</v>
      </c>
      <c r="BB41" s="205">
        <f>'Input data'!D85/10^6</f>
        <v>0</v>
      </c>
    </row>
    <row r="42" spans="1:54">
      <c r="A42" s="542">
        <f>'Input data'!A86</f>
        <v>1986</v>
      </c>
      <c r="B42" s="1230">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28.06789123869763</v>
      </c>
      <c r="AB42" s="236">
        <f>'Input data'!L86</f>
        <v>42090.604827777403</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1">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37234.898799163682</v>
      </c>
      <c r="AT42" s="775">
        <f t="shared" si="12"/>
        <v>2924.9025074361616</v>
      </c>
      <c r="AU42" s="775">
        <f t="shared" si="13"/>
        <v>815.29778437359107</v>
      </c>
      <c r="AV42" s="419">
        <f t="shared" si="14"/>
        <v>0</v>
      </c>
      <c r="AW42" s="775">
        <f t="shared" si="15"/>
        <v>1115.5057368039684</v>
      </c>
      <c r="AX42" s="530">
        <f t="shared" si="16"/>
        <v>42090.60482777741</v>
      </c>
      <c r="AZ42" s="684">
        <f t="shared" si="22"/>
        <v>59.006946388077417</v>
      </c>
      <c r="BA42" s="417">
        <f t="shared" si="17"/>
        <v>0.13962719383049527</v>
      </c>
      <c r="BB42" s="205">
        <f>'Input data'!D86/10^6</f>
        <v>0</v>
      </c>
    </row>
    <row r="43" spans="1:54">
      <c r="A43" s="542">
        <f>'Input data'!A87</f>
        <v>1987</v>
      </c>
      <c r="B43" s="1230">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28.06789123869763</v>
      </c>
      <c r="AB43" s="236">
        <f>'Input data'!L87</f>
        <v>42974.816988126448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1">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38017.105432741424</v>
      </c>
      <c r="AT43" s="775">
        <f t="shared" si="12"/>
        <v>2986.3469645897853</v>
      </c>
      <c r="AU43" s="775">
        <f t="shared" si="13"/>
        <v>832.42503208595963</v>
      </c>
      <c r="AV43" s="419">
        <f t="shared" si="14"/>
        <v>0</v>
      </c>
      <c r="AW43" s="775">
        <f t="shared" si="15"/>
        <v>1138.9395587092847</v>
      </c>
      <c r="AX43" s="530">
        <f t="shared" si="16"/>
        <v>42974.816988126455</v>
      </c>
      <c r="AZ43" s="684">
        <f t="shared" si="22"/>
        <v>60.318793720026456</v>
      </c>
      <c r="BA43" s="417">
        <f t="shared" si="17"/>
        <v>0.13969952616886211</v>
      </c>
      <c r="BB43" s="205">
        <f>'Input data'!D87/10^6</f>
        <v>0</v>
      </c>
    </row>
    <row r="44" spans="1:54">
      <c r="A44" s="542">
        <f>'Input data'!A88</f>
        <v>1988</v>
      </c>
      <c r="B44" s="1230">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28.06789123869763</v>
      </c>
      <c r="AB44" s="236">
        <f>'Input data'!L88</f>
        <v>44779.816264317924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1">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39613.874252209636</v>
      </c>
      <c r="AT44" s="775">
        <f t="shared" si="12"/>
        <v>3111.7774954755942</v>
      </c>
      <c r="AU44" s="775">
        <f t="shared" si="13"/>
        <v>867.38798680462571</v>
      </c>
      <c r="AV44" s="419">
        <f t="shared" si="14"/>
        <v>0</v>
      </c>
      <c r="AW44" s="775">
        <f t="shared" si="15"/>
        <v>1186.7765298280704</v>
      </c>
      <c r="AX44" s="530">
        <f t="shared" si="16"/>
        <v>44779.816264317931</v>
      </c>
      <c r="AZ44" s="684">
        <f t="shared" si="22"/>
        <v>62.542475214717939</v>
      </c>
      <c r="BA44" s="417">
        <f t="shared" si="17"/>
        <v>0.13940084354283128</v>
      </c>
      <c r="BB44" s="205">
        <f>'Input data'!D88/10^6</f>
        <v>0</v>
      </c>
    </row>
    <row r="45" spans="1:54">
      <c r="A45" s="542">
        <f>'Input data'!A89</f>
        <v>1989</v>
      </c>
      <c r="B45" s="1230">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28.06789123869763</v>
      </c>
      <c r="AB45" s="236">
        <f>'Input data'!L89</f>
        <v>45852.196210645117</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1">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40562.541037567738</v>
      </c>
      <c r="AT45" s="775">
        <f t="shared" si="12"/>
        <v>3186.2978500005706</v>
      </c>
      <c r="AU45" s="775">
        <f t="shared" si="13"/>
        <v>888.16005690969189</v>
      </c>
      <c r="AV45" s="419">
        <f t="shared" si="14"/>
        <v>0</v>
      </c>
      <c r="AW45" s="775">
        <f t="shared" si="15"/>
        <v>1215.197266167123</v>
      </c>
      <c r="AX45" s="530">
        <f t="shared" si="16"/>
        <v>45852.196210645125</v>
      </c>
      <c r="AZ45" s="684">
        <f t="shared" si="22"/>
        <v>64.016684761945129</v>
      </c>
      <c r="BA45" s="417">
        <f t="shared" si="17"/>
        <v>0.13937855289628218</v>
      </c>
      <c r="BB45" s="205">
        <f>'Input data'!D89/10^6</f>
        <v>0</v>
      </c>
    </row>
    <row r="46" spans="1:54">
      <c r="A46" s="542">
        <f>'Input data'!A90</f>
        <v>1990</v>
      </c>
      <c r="B46" s="1230">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28.06789123869763</v>
      </c>
      <c r="AB46" s="236">
        <f>'Input data'!L90</f>
        <v>45706.484498956277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1">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40433.639092328725</v>
      </c>
      <c r="AT46" s="775">
        <f t="shared" si="12"/>
        <v>3176.1722518385732</v>
      </c>
      <c r="AU46" s="775">
        <f t="shared" si="13"/>
        <v>885.33761146887957</v>
      </c>
      <c r="AV46" s="419">
        <f t="shared" si="14"/>
        <v>0</v>
      </c>
      <c r="AW46" s="775">
        <f t="shared" si="15"/>
        <v>1211.3355433201002</v>
      </c>
      <c r="AX46" s="530">
        <f t="shared" si="16"/>
        <v>45706.484498956277</v>
      </c>
      <c r="AZ46" s="684">
        <f t="shared" si="22"/>
        <v>64.244363858956277</v>
      </c>
      <c r="BA46" s="417">
        <f t="shared" si="17"/>
        <v>0.1397853560873199</v>
      </c>
      <c r="BB46" s="205">
        <f>'Input data'!D90/10^6</f>
        <v>0</v>
      </c>
    </row>
    <row r="47" spans="1:54">
      <c r="A47" s="542">
        <f>'Input data'!A91</f>
        <v>1991</v>
      </c>
      <c r="B47" s="1230">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28.06789123869763</v>
      </c>
      <c r="AB47" s="236">
        <f>'Input data'!L91</f>
        <v>45241.091990538232</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1">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40021.935743713533</v>
      </c>
      <c r="AT47" s="775">
        <f t="shared" si="12"/>
        <v>3143.8318347696409</v>
      </c>
      <c r="AU47" s="775">
        <f t="shared" si="13"/>
        <v>876.32292796575973</v>
      </c>
      <c r="AV47" s="419">
        <f t="shared" si="14"/>
        <v>0</v>
      </c>
      <c r="AW47" s="775">
        <f t="shared" si="15"/>
        <v>1199.0014840893023</v>
      </c>
      <c r="AX47" s="530">
        <f t="shared" si="16"/>
        <v>45241.09199053824</v>
      </c>
      <c r="AZ47" s="684">
        <f t="shared" si="22"/>
        <v>64.16500162243824</v>
      </c>
      <c r="BA47" s="417">
        <f t="shared" si="17"/>
        <v>0.14032475563837693</v>
      </c>
      <c r="BB47" s="205">
        <f>'Input data'!D91/10^6</f>
        <v>0</v>
      </c>
    </row>
    <row r="48" spans="1:54">
      <c r="A48" s="542">
        <f>'Input data'!A92</f>
        <v>1992</v>
      </c>
      <c r="B48" s="1230">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28.06789123869763</v>
      </c>
      <c r="AB48" s="236">
        <f>'Input data'!L92</f>
        <v>44274.264117495608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1">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39166.644208791353</v>
      </c>
      <c r="AT48" s="775">
        <f t="shared" si="12"/>
        <v>3076.6463599661211</v>
      </c>
      <c r="AU48" s="775">
        <f t="shared" si="13"/>
        <v>857.59540846378093</v>
      </c>
      <c r="AV48" s="419">
        <f t="shared" si="14"/>
        <v>0</v>
      </c>
      <c r="AW48" s="775">
        <f t="shared" si="15"/>
        <v>1173.3781402743596</v>
      </c>
      <c r="AX48" s="530">
        <f t="shared" si="16"/>
        <v>44274.264117495615</v>
      </c>
      <c r="AZ48" s="684">
        <f t="shared" si="22"/>
        <v>63.597370128795617</v>
      </c>
      <c r="BA48" s="417">
        <f t="shared" si="17"/>
        <v>0.1410788070763607</v>
      </c>
      <c r="BB48" s="205">
        <f>'Input data'!D92/10^6</f>
        <v>0</v>
      </c>
    </row>
    <row r="49" spans="1:54">
      <c r="A49" s="542">
        <f>'Input data'!A93</f>
        <v>1993</v>
      </c>
      <c r="B49" s="1230">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28.06789123869763</v>
      </c>
      <c r="AB49" s="236">
        <f>'Input data'!L93</f>
        <v>44820.395981719135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1">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39649.772564360661</v>
      </c>
      <c r="AT49" s="775">
        <f t="shared" si="12"/>
        <v>3114.5974054688932</v>
      </c>
      <c r="AU49" s="775">
        <f t="shared" si="13"/>
        <v>868.17401860015548</v>
      </c>
      <c r="AV49" s="419">
        <f t="shared" si="14"/>
        <v>0</v>
      </c>
      <c r="AW49" s="775">
        <f t="shared" si="15"/>
        <v>1187.851993289433</v>
      </c>
      <c r="AX49" s="530">
        <f t="shared" si="16"/>
        <v>44820.395981719143</v>
      </c>
      <c r="AZ49" s="684">
        <f t="shared" si="22"/>
        <v>64.555864479919137</v>
      </c>
      <c r="BA49" s="417">
        <f t="shared" si="17"/>
        <v>0.1412376271381921</v>
      </c>
      <c r="BB49" s="205">
        <f>'Input data'!D93/10^6</f>
        <v>0</v>
      </c>
    </row>
    <row r="50" spans="1:54">
      <c r="A50" s="542">
        <f>'Input data'!A94</f>
        <v>1994</v>
      </c>
      <c r="B50" s="1230">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28.06789123869763</v>
      </c>
      <c r="AB50" s="236">
        <f>'Input data'!L94</f>
        <v>46254.6491233001</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1">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40918.565702346314</v>
      </c>
      <c r="AT50" s="775">
        <f t="shared" si="12"/>
        <v>3214.2645551160249</v>
      </c>
      <c r="AU50" s="775">
        <f t="shared" si="13"/>
        <v>895.95559630250591</v>
      </c>
      <c r="AV50" s="419">
        <f t="shared" si="14"/>
        <v>0</v>
      </c>
      <c r="AW50" s="775">
        <f t="shared" si="15"/>
        <v>1225.8632695352624</v>
      </c>
      <c r="AX50" s="530">
        <f t="shared" si="16"/>
        <v>46254.649123300107</v>
      </c>
      <c r="AZ50" s="684">
        <f t="shared" si="22"/>
        <v>66.416172860200106</v>
      </c>
      <c r="BA50" s="417">
        <f t="shared" si="17"/>
        <v>0.14105582668928218</v>
      </c>
      <c r="BB50" s="205">
        <f>'Input data'!D94/10^6</f>
        <v>0</v>
      </c>
    </row>
    <row r="51" spans="1:54">
      <c r="A51" s="542">
        <f>'Input data'!A95</f>
        <v>1995</v>
      </c>
      <c r="B51" s="1230">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28.06789123869763</v>
      </c>
      <c r="AB51" s="236">
        <f>'Input data'!L95</f>
        <v>47688.541126734373</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1">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42187.039364230361</v>
      </c>
      <c r="AT51" s="775">
        <f t="shared" si="12"/>
        <v>3313.9066090470187</v>
      </c>
      <c r="AU51" s="775">
        <f t="shared" si="13"/>
        <v>923.73017873519802</v>
      </c>
      <c r="AV51" s="419">
        <f t="shared" si="14"/>
        <v>0</v>
      </c>
      <c r="AW51" s="775">
        <f t="shared" si="15"/>
        <v>1263.8649747218003</v>
      </c>
      <c r="AX51" s="530">
        <f t="shared" si="16"/>
        <v>47688.541126734381</v>
      </c>
      <c r="AZ51" s="684">
        <f t="shared" si="22"/>
        <v>68.290866142734373</v>
      </c>
      <c r="BA51" s="417">
        <f t="shared" si="17"/>
        <v>0.14089683304928646</v>
      </c>
      <c r="BB51" s="205">
        <f>'Input data'!D95/10^6</f>
        <v>0</v>
      </c>
    </row>
    <row r="52" spans="1:54">
      <c r="A52" s="542">
        <f>'Input data'!A96</f>
        <v>1996</v>
      </c>
      <c r="B52" s="1230">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28.06789123869763</v>
      </c>
      <c r="AB52" s="236">
        <f>'Input data'!L96</f>
        <v>49739.147899700009</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1">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44001.081618568925</v>
      </c>
      <c r="AT52" s="775">
        <f t="shared" si="12"/>
        <v>3456.404558804551</v>
      </c>
      <c r="AU52" s="775">
        <f t="shared" si="13"/>
        <v>963.45056682325492</v>
      </c>
      <c r="AV52" s="419">
        <f t="shared" si="14"/>
        <v>0</v>
      </c>
      <c r="AW52" s="775">
        <f t="shared" si="15"/>
        <v>1318.2111555032807</v>
      </c>
      <c r="AX52" s="530">
        <f t="shared" si="16"/>
        <v>49739.147899700009</v>
      </c>
      <c r="AZ52" s="684">
        <f t="shared" si="22"/>
        <v>70.804919899699996</v>
      </c>
      <c r="BA52" s="417">
        <f t="shared" si="17"/>
        <v>0.14054419799115175</v>
      </c>
      <c r="BB52" s="205">
        <f>'Input data'!D96/10^6</f>
        <v>0</v>
      </c>
    </row>
    <row r="53" spans="1:54">
      <c r="A53" s="542">
        <f>'Input data'!A97</f>
        <v>1997</v>
      </c>
      <c r="B53" s="1230">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28.06789123869763</v>
      </c>
      <c r="AB53" s="236">
        <f>'Input data'!L97</f>
        <v>51032.366797572584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1">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45145.11067171461</v>
      </c>
      <c r="AT53" s="775">
        <f t="shared" si="12"/>
        <v>3546.2711504709901</v>
      </c>
      <c r="AU53" s="775">
        <f t="shared" si="13"/>
        <v>988.50030194727367</v>
      </c>
      <c r="AV53" s="419">
        <f t="shared" si="14"/>
        <v>0</v>
      </c>
      <c r="AW53" s="775">
        <f t="shared" si="15"/>
        <v>1352.484673439714</v>
      </c>
      <c r="AX53" s="530">
        <f t="shared" si="16"/>
        <v>51032.366797572584</v>
      </c>
      <c r="AZ53" s="684">
        <f t="shared" si="22"/>
        <v>72.58581141937259</v>
      </c>
      <c r="BA53" s="417">
        <f t="shared" si="17"/>
        <v>0.14049502031875372</v>
      </c>
      <c r="BB53" s="205">
        <f>'Input data'!D97/10^6</f>
        <v>0</v>
      </c>
    </row>
    <row r="54" spans="1:54">
      <c r="A54" s="542">
        <f>'Input data'!A98</f>
        <v>1998</v>
      </c>
      <c r="B54" s="1230">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28.06789123869763</v>
      </c>
      <c r="AB54" s="236">
        <f>'Input data'!L98</f>
        <v>51287.529093403362</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1">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45370.836633636434</v>
      </c>
      <c r="AT54" s="775">
        <f t="shared" si="12"/>
        <v>3564.0025383170992</v>
      </c>
      <c r="AU54" s="775">
        <f t="shared" si="13"/>
        <v>993.44281240293776</v>
      </c>
      <c r="AV54" s="419">
        <f t="shared" si="14"/>
        <v>0</v>
      </c>
      <c r="AW54" s="775">
        <f t="shared" si="15"/>
        <v>1359.2471090468989</v>
      </c>
      <c r="AX54" s="530">
        <f t="shared" si="16"/>
        <v>51287.529093403369</v>
      </c>
      <c r="AZ54" s="684">
        <f t="shared" si="22"/>
        <v>73.353925263403369</v>
      </c>
      <c r="BA54" s="417">
        <f t="shared" si="17"/>
        <v>0.14082370720685361</v>
      </c>
      <c r="BB54" s="205">
        <f>'Input data'!D98/10^6</f>
        <v>0</v>
      </c>
    </row>
    <row r="55" spans="1:54">
      <c r="A55" s="542">
        <f>'Input data'!A99</f>
        <v>1999</v>
      </c>
      <c r="B55" s="1230">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28.06789123869763</v>
      </c>
      <c r="AB55" s="236">
        <f>'Input data'!L99</f>
        <v>52518.42786579833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1">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46459.735009168791</v>
      </c>
      <c r="AT55" s="775">
        <f t="shared" si="12"/>
        <v>3649.5384654084137</v>
      </c>
      <c r="AU55" s="775">
        <f t="shared" si="13"/>
        <v>1017.2854025968307</v>
      </c>
      <c r="AV55" s="419">
        <f t="shared" si="14"/>
        <v>0</v>
      </c>
      <c r="AW55" s="775">
        <f t="shared" si="15"/>
        <v>1391.8689886242955</v>
      </c>
      <c r="AX55" s="530">
        <f t="shared" si="16"/>
        <v>52518.42786579833</v>
      </c>
      <c r="AZ55" s="684">
        <f t="shared" si="22"/>
        <v>75.123581154698329</v>
      </c>
      <c r="BA55" s="417">
        <f t="shared" si="17"/>
        <v>0.14083092621241297</v>
      </c>
      <c r="BB55" s="205">
        <f>'Input data'!D99/10^6</f>
        <v>0</v>
      </c>
    </row>
    <row r="56" spans="1:54">
      <c r="A56" s="1241">
        <f>'Input data'!A100</f>
        <v>2000</v>
      </c>
      <c r="B56" s="1648">
        <f>'Input data'!I100</f>
        <v>578.73</v>
      </c>
      <c r="C56" s="532">
        <f>B56*'Input data'!B100</f>
        <v>25464.120000000003</v>
      </c>
      <c r="D56" s="1232">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3">
        <f>'Input data'!U100</f>
        <v>1</v>
      </c>
      <c r="L56" s="1232">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2">
        <f t="shared" ref="T56:W71" si="29">T55</f>
        <v>0.8</v>
      </c>
      <c r="U56" s="415">
        <f t="shared" si="29"/>
        <v>0.11</v>
      </c>
      <c r="V56" s="415">
        <f t="shared" si="29"/>
        <v>0.09</v>
      </c>
      <c r="W56" s="415">
        <f t="shared" si="29"/>
        <v>0</v>
      </c>
      <c r="X56" s="1233">
        <f t="shared" si="8"/>
        <v>1</v>
      </c>
      <c r="Y56" s="1232">
        <f>'Input data'!$G$35</f>
        <v>0.66241124199764068</v>
      </c>
      <c r="Z56" s="1233">
        <f>'Input data'!$H$35</f>
        <v>0.33758875800235938</v>
      </c>
      <c r="AA56" s="1355">
        <f>'Input data'!J100</f>
        <v>28.06789123869763</v>
      </c>
      <c r="AB56" s="471">
        <f>'Input data'!L100</f>
        <v>54724.203661702413</v>
      </c>
      <c r="AC56" s="415">
        <f t="shared" ref="AC56:AF71" si="30">AC55</f>
        <v>0.88463681982043585</v>
      </c>
      <c r="AD56" s="415">
        <f t="shared" si="30"/>
        <v>8.8860692477895534E-2</v>
      </c>
      <c r="AE56" s="415">
        <f t="shared" si="30"/>
        <v>0</v>
      </c>
      <c r="AF56" s="415">
        <f t="shared" si="30"/>
        <v>2.6502487701668711E-2</v>
      </c>
      <c r="AG56" s="415">
        <f t="shared" si="20"/>
        <v>1</v>
      </c>
      <c r="AH56" s="1353">
        <f t="shared" ref="AH56:AI71" si="31">AH55</f>
        <v>0.78201761382701329</v>
      </c>
      <c r="AI56" s="1234">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48411.045494494276</v>
      </c>
      <c r="AT56" s="517">
        <f t="shared" si="12"/>
        <v>3802.8192078135248</v>
      </c>
      <c r="AU56" s="517">
        <f t="shared" si="13"/>
        <v>1060.0114248667383</v>
      </c>
      <c r="AV56" s="471">
        <f t="shared" si="14"/>
        <v>0</v>
      </c>
      <c r="AW56" s="517">
        <f t="shared" si="15"/>
        <v>1450.3275345278821</v>
      </c>
      <c r="AX56" s="534">
        <f t="shared" si="16"/>
        <v>54724.203661702421</v>
      </c>
      <c r="AY56" s="1"/>
      <c r="AZ56" s="1358">
        <f t="shared" si="22"/>
        <v>80.188323661702427</v>
      </c>
      <c r="BA56" s="415">
        <f t="shared" si="17"/>
        <v>0.14223993776609636</v>
      </c>
      <c r="BB56" s="1359">
        <f>'Input data'!D100/10^6</f>
        <v>0</v>
      </c>
    </row>
    <row r="57" spans="1:54">
      <c r="A57" s="990">
        <f>'Input data'!A101</f>
        <v>2001</v>
      </c>
      <c r="B57" s="1647">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2">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5">
        <f t="shared" si="6"/>
        <v>0.99999999999999989</v>
      </c>
      <c r="T57" s="648">
        <f t="shared" si="29"/>
        <v>0.8</v>
      </c>
      <c r="U57" s="411">
        <f t="shared" si="29"/>
        <v>0.11</v>
      </c>
      <c r="V57" s="411">
        <f t="shared" si="29"/>
        <v>0.09</v>
      </c>
      <c r="W57" s="411">
        <f t="shared" si="29"/>
        <v>0</v>
      </c>
      <c r="X57" s="1152">
        <f t="shared" si="8"/>
        <v>1</v>
      </c>
      <c r="Y57" s="648">
        <f>'Input data'!$G$35</f>
        <v>0.66241124199764068</v>
      </c>
      <c r="Z57" s="1152">
        <f>'Input data'!$H$35</f>
        <v>0.33758875800235938</v>
      </c>
      <c r="AA57" s="1356">
        <f>'Input data'!J101</f>
        <v>28.06789123869763</v>
      </c>
      <c r="AB57" s="1236">
        <f>'Input data'!L101</f>
        <v>56201.754187402395</v>
      </c>
      <c r="AC57" s="411">
        <f t="shared" si="30"/>
        <v>0.88463681982043585</v>
      </c>
      <c r="AD57" s="411">
        <f t="shared" si="30"/>
        <v>8.8860692477895534E-2</v>
      </c>
      <c r="AE57" s="411">
        <f t="shared" si="30"/>
        <v>0</v>
      </c>
      <c r="AF57" s="411">
        <f t="shared" si="30"/>
        <v>2.6502487701668711E-2</v>
      </c>
      <c r="AG57" s="411">
        <f t="shared" si="20"/>
        <v>1</v>
      </c>
      <c r="AH57" s="1354">
        <f t="shared" si="31"/>
        <v>0.78201761382701329</v>
      </c>
      <c r="AI57" s="1238">
        <f t="shared" si="31"/>
        <v>0.21798238617298668</v>
      </c>
      <c r="AJ57" s="1"/>
      <c r="AK57" s="990">
        <f t="shared" si="0"/>
        <v>2001</v>
      </c>
      <c r="AL57" s="766">
        <f t="shared" si="1"/>
        <v>20792.611440000001</v>
      </c>
      <c r="AM57" s="1236">
        <f t="shared" si="2"/>
        <v>1893.8231906474034</v>
      </c>
      <c r="AN57" s="1236">
        <f t="shared" si="3"/>
        <v>965.16088235259679</v>
      </c>
      <c r="AO57" s="1236">
        <f t="shared" si="4"/>
        <v>2339.1687869999996</v>
      </c>
      <c r="AP57" s="1236">
        <f t="shared" si="5"/>
        <v>0</v>
      </c>
      <c r="AQ57" s="663">
        <f t="shared" si="10"/>
        <v>25990.764299999999</v>
      </c>
      <c r="AR57" s="1"/>
      <c r="AS57" s="1239">
        <f t="shared" si="11"/>
        <v>49718.141092673519</v>
      </c>
      <c r="AT57" s="1240">
        <f t="shared" si="12"/>
        <v>3905.4951198173221</v>
      </c>
      <c r="AU57" s="1240">
        <f t="shared" si="13"/>
        <v>1088.6316757477196</v>
      </c>
      <c r="AV57" s="1236">
        <f t="shared" si="14"/>
        <v>0</v>
      </c>
      <c r="AW57" s="1240">
        <f t="shared" si="15"/>
        <v>1489.4862991638399</v>
      </c>
      <c r="AX57" s="744">
        <f t="shared" si="16"/>
        <v>56201.754187402395</v>
      </c>
      <c r="AY57" s="1"/>
      <c r="AZ57" s="1150">
        <f t="shared" si="22"/>
        <v>82.192518487402396</v>
      </c>
      <c r="BA57" s="411">
        <f t="shared" si="17"/>
        <v>0.14212687687042144</v>
      </c>
      <c r="BB57" s="1360">
        <f>'Input data'!D101/10^6</f>
        <v>0</v>
      </c>
    </row>
    <row r="58" spans="1:54">
      <c r="A58" s="990">
        <f>'Input data'!A102</f>
        <v>2002</v>
      </c>
      <c r="B58" s="1647">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2">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5">
        <f t="shared" si="6"/>
        <v>0.99999999999999989</v>
      </c>
      <c r="T58" s="648">
        <f t="shared" si="29"/>
        <v>0.8</v>
      </c>
      <c r="U58" s="411">
        <f t="shared" si="29"/>
        <v>0.11</v>
      </c>
      <c r="V58" s="411">
        <f t="shared" si="29"/>
        <v>0.09</v>
      </c>
      <c r="W58" s="411">
        <f t="shared" si="29"/>
        <v>0</v>
      </c>
      <c r="X58" s="1152">
        <f t="shared" si="8"/>
        <v>1</v>
      </c>
      <c r="Y58" s="648">
        <f>'Input data'!$G$35</f>
        <v>0.66241124199764068</v>
      </c>
      <c r="Z58" s="1152">
        <f>'Input data'!$H$35</f>
        <v>0.33758875800235938</v>
      </c>
      <c r="AA58" s="1356">
        <f>'Input data'!J102</f>
        <v>28.06789123869763</v>
      </c>
      <c r="AB58" s="1236">
        <f>'Input data'!L102</f>
        <v>58281.433980867463</v>
      </c>
      <c r="AC58" s="411">
        <f t="shared" si="30"/>
        <v>0.88463681982043585</v>
      </c>
      <c r="AD58" s="411">
        <f t="shared" si="30"/>
        <v>8.8860692477895534E-2</v>
      </c>
      <c r="AE58" s="411">
        <f t="shared" si="30"/>
        <v>0</v>
      </c>
      <c r="AF58" s="411">
        <f t="shared" si="30"/>
        <v>2.6502487701668711E-2</v>
      </c>
      <c r="AG58" s="411">
        <f t="shared" si="20"/>
        <v>1</v>
      </c>
      <c r="AH58" s="1354">
        <f t="shared" si="31"/>
        <v>0.78201761382701329</v>
      </c>
      <c r="AI58" s="1238">
        <f t="shared" si="31"/>
        <v>0.21798238617298668</v>
      </c>
      <c r="AJ58" s="1"/>
      <c r="AK58" s="990">
        <f t="shared" si="0"/>
        <v>2002</v>
      </c>
      <c r="AL58" s="766">
        <f t="shared" si="1"/>
        <v>21081.050472000003</v>
      </c>
      <c r="AM58" s="1236">
        <f t="shared" si="2"/>
        <v>1920.0946635437149</v>
      </c>
      <c r="AN58" s="1236">
        <f t="shared" si="3"/>
        <v>978.54977635628575</v>
      </c>
      <c r="AO58" s="1236">
        <f t="shared" si="4"/>
        <v>2371.6181781</v>
      </c>
      <c r="AP58" s="1236">
        <f t="shared" si="5"/>
        <v>0</v>
      </c>
      <c r="AQ58" s="663">
        <f t="shared" si="10"/>
        <v>26351.313090000003</v>
      </c>
      <c r="AR58" s="1"/>
      <c r="AS58" s="1239">
        <f t="shared" si="11"/>
        <v>51557.902411409275</v>
      </c>
      <c r="AT58" s="1240">
        <f t="shared" si="12"/>
        <v>4050.0133719892642</v>
      </c>
      <c r="AU58" s="1240">
        <f t="shared" si="13"/>
        <v>1128.91521015537</v>
      </c>
      <c r="AV58" s="1236">
        <f t="shared" si="14"/>
        <v>0</v>
      </c>
      <c r="AW58" s="1240">
        <f t="shared" si="15"/>
        <v>1544.6029873135569</v>
      </c>
      <c r="AX58" s="744">
        <f t="shared" si="16"/>
        <v>58281.433980867463</v>
      </c>
      <c r="AY58" s="1"/>
      <c r="AZ58" s="1150">
        <f t="shared" si="22"/>
        <v>84.632747070867467</v>
      </c>
      <c r="BA58" s="411">
        <f t="shared" si="17"/>
        <v>0.14171576136380343</v>
      </c>
      <c r="BB58" s="1360">
        <f>'Input data'!D102/10^6</f>
        <v>0</v>
      </c>
    </row>
    <row r="59" spans="1:54">
      <c r="A59" s="990">
        <f>'Input data'!A103</f>
        <v>2003</v>
      </c>
      <c r="B59" s="1647">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2">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5">
        <f t="shared" si="6"/>
        <v>0.99999999999999989</v>
      </c>
      <c r="T59" s="648">
        <f t="shared" si="29"/>
        <v>0.8</v>
      </c>
      <c r="U59" s="411">
        <f t="shared" si="29"/>
        <v>0.11</v>
      </c>
      <c r="V59" s="411">
        <f t="shared" si="29"/>
        <v>0.09</v>
      </c>
      <c r="W59" s="411">
        <f t="shared" si="29"/>
        <v>0</v>
      </c>
      <c r="X59" s="1152">
        <f t="shared" si="8"/>
        <v>1</v>
      </c>
      <c r="Y59" s="648">
        <f>'Input data'!$G$35</f>
        <v>0.66241124199764068</v>
      </c>
      <c r="Z59" s="1152">
        <f>'Input data'!$H$35</f>
        <v>0.33758875800235938</v>
      </c>
      <c r="AA59" s="1356">
        <f>'Input data'!J103</f>
        <v>28.06789123869763</v>
      </c>
      <c r="AB59" s="1236">
        <f>'Input data'!L103</f>
        <v>60000.199591141652</v>
      </c>
      <c r="AC59" s="411">
        <f>($AC$68-$AC$58)/($A$68-$A$58)+AC58</f>
        <v>0.87438818250331407</v>
      </c>
      <c r="AD59" s="411">
        <f>($AD$68-$AD$58)/($A$68-$A$58)+AD58</f>
        <v>8.8860692477895534E-2</v>
      </c>
      <c r="AE59" s="411">
        <f>($AE$68-$AE$58)/($A$68-$A$58)+AE58</f>
        <v>0</v>
      </c>
      <c r="AF59" s="411">
        <f>($AF$68-$AF$58)/($A$68-$A$58)+AF58</f>
        <v>3.6751125018790451E-2</v>
      </c>
      <c r="AG59" s="411">
        <f t="shared" si="20"/>
        <v>1</v>
      </c>
      <c r="AH59" s="1354">
        <f t="shared" si="31"/>
        <v>0.78201761382701329</v>
      </c>
      <c r="AI59" s="1238">
        <f t="shared" si="31"/>
        <v>0.21798238617298668</v>
      </c>
      <c r="AJ59" s="1"/>
      <c r="AK59" s="990">
        <f t="shared" si="0"/>
        <v>2003</v>
      </c>
      <c r="AL59" s="766">
        <f t="shared" si="1"/>
        <v>21350.970144000003</v>
      </c>
      <c r="AM59" s="1236">
        <f t="shared" si="2"/>
        <v>1944.6793645044681</v>
      </c>
      <c r="AN59" s="1236">
        <f t="shared" si="3"/>
        <v>991.07903029553222</v>
      </c>
      <c r="AO59" s="1236">
        <f t="shared" si="4"/>
        <v>2401.9841412000001</v>
      </c>
      <c r="AP59" s="1236">
        <f t="shared" si="5"/>
        <v>0</v>
      </c>
      <c r="AQ59" s="663">
        <f t="shared" si="10"/>
        <v>26688.712680000001</v>
      </c>
      <c r="AR59" s="1"/>
      <c r="AS59" s="1239">
        <f t="shared" si="11"/>
        <v>52463.465470334435</v>
      </c>
      <c r="AT59" s="1240">
        <f t="shared" si="12"/>
        <v>4169.45147138831</v>
      </c>
      <c r="AU59" s="1240">
        <f t="shared" si="13"/>
        <v>1162.2078130924817</v>
      </c>
      <c r="AV59" s="1236">
        <f t="shared" si="14"/>
        <v>0</v>
      </c>
      <c r="AW59" s="1240">
        <f t="shared" si="15"/>
        <v>2205.0748363264265</v>
      </c>
      <c r="AX59" s="744">
        <f t="shared" si="16"/>
        <v>60000.199591141652</v>
      </c>
      <c r="AY59" s="1"/>
      <c r="AZ59" s="1150">
        <f t="shared" si="22"/>
        <v>86.68891227114166</v>
      </c>
      <c r="BA59" s="411">
        <f t="shared" si="17"/>
        <v>0.14851353327100256</v>
      </c>
      <c r="BB59" s="1360">
        <f>'Input data'!D103/10^6</f>
        <v>0</v>
      </c>
    </row>
    <row r="60" spans="1:54">
      <c r="A60" s="990">
        <f>'Input data'!A104</f>
        <v>2004</v>
      </c>
      <c r="B60" s="1647">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2">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5">
        <f t="shared" si="6"/>
        <v>0.99999999999999989</v>
      </c>
      <c r="T60" s="648">
        <f t="shared" si="29"/>
        <v>0.8</v>
      </c>
      <c r="U60" s="411">
        <f t="shared" si="29"/>
        <v>0.11</v>
      </c>
      <c r="V60" s="411">
        <f t="shared" si="29"/>
        <v>0.09</v>
      </c>
      <c r="W60" s="411">
        <f t="shared" si="29"/>
        <v>0</v>
      </c>
      <c r="X60" s="1152">
        <f t="shared" si="8"/>
        <v>1</v>
      </c>
      <c r="Y60" s="648">
        <f>'Input data'!$G$35</f>
        <v>0.66241124199764068</v>
      </c>
      <c r="Z60" s="1152">
        <f>'Input data'!$H$35</f>
        <v>0.33758875800235938</v>
      </c>
      <c r="AA60" s="1356">
        <f>'Input data'!J104</f>
        <v>28.06789123869763</v>
      </c>
      <c r="AB60" s="1236">
        <f>'Input data'!L104</f>
        <v>62732.940328625482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4">
        <f t="shared" si="31"/>
        <v>0.78201761382701329</v>
      </c>
      <c r="AI60" s="1238">
        <f t="shared" si="31"/>
        <v>0.21798238617298668</v>
      </c>
      <c r="AJ60" s="1"/>
      <c r="AK60" s="990">
        <f t="shared" si="0"/>
        <v>2004</v>
      </c>
      <c r="AL60" s="766">
        <f t="shared" si="1"/>
        <v>21605.148360000003</v>
      </c>
      <c r="AM60" s="1236">
        <f t="shared" si="2"/>
        <v>1967.8303093199975</v>
      </c>
      <c r="AN60" s="1236">
        <f t="shared" si="3"/>
        <v>1002.8775901800029</v>
      </c>
      <c r="AO60" s="1236">
        <f t="shared" si="4"/>
        <v>2430.5791905000001</v>
      </c>
      <c r="AP60" s="1236">
        <f t="shared" si="5"/>
        <v>0</v>
      </c>
      <c r="AQ60" s="663">
        <f t="shared" si="10"/>
        <v>27006.435450000004</v>
      </c>
      <c r="AR60" s="1"/>
      <c r="AS60" s="1239">
        <f t="shared" si="11"/>
        <v>54210.014523770966</v>
      </c>
      <c r="AT60" s="1240">
        <f t="shared" si="12"/>
        <v>4359.3513378298694</v>
      </c>
      <c r="AU60" s="1240">
        <f t="shared" si="13"/>
        <v>1215.14118094629</v>
      </c>
      <c r="AV60" s="1236">
        <f t="shared" si="14"/>
        <v>0</v>
      </c>
      <c r="AW60" s="1240">
        <f t="shared" si="15"/>
        <v>2948.4332860783593</v>
      </c>
      <c r="AX60" s="744">
        <f t="shared" si="16"/>
        <v>62732.940328625482</v>
      </c>
      <c r="AY60" s="1"/>
      <c r="AZ60" s="1150">
        <f t="shared" si="22"/>
        <v>89.739375778625487</v>
      </c>
      <c r="BA60" s="411">
        <f t="shared" si="17"/>
        <v>0.15516280087799594</v>
      </c>
      <c r="BB60" s="1360">
        <f>'Input data'!D104/10^6</f>
        <v>0</v>
      </c>
    </row>
    <row r="61" spans="1:54">
      <c r="A61" s="990">
        <f>'Input data'!A105</f>
        <v>2005</v>
      </c>
      <c r="B61" s="1647">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2">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5">
        <f t="shared" si="6"/>
        <v>0.99999999999999989</v>
      </c>
      <c r="T61" s="648">
        <f t="shared" si="29"/>
        <v>0.8</v>
      </c>
      <c r="U61" s="411">
        <f t="shared" si="29"/>
        <v>0.11</v>
      </c>
      <c r="V61" s="411">
        <f t="shared" si="29"/>
        <v>0.09</v>
      </c>
      <c r="W61" s="411">
        <f t="shared" si="29"/>
        <v>0</v>
      </c>
      <c r="X61" s="1152">
        <f t="shared" si="8"/>
        <v>1</v>
      </c>
      <c r="Y61" s="648">
        <f>'Input data'!$G$35</f>
        <v>0.66241124199764068</v>
      </c>
      <c r="Z61" s="1152">
        <f>'Input data'!$H$35</f>
        <v>0.33758875800235938</v>
      </c>
      <c r="AA61" s="1356">
        <f>'Input data'!J105</f>
        <v>28.06789123869763</v>
      </c>
      <c r="AB61" s="1236">
        <f>'Input data'!L105</f>
        <v>66043.392915940407</v>
      </c>
      <c r="AC61" s="411">
        <f t="shared" si="32"/>
        <v>0.85389090786907051</v>
      </c>
      <c r="AD61" s="411">
        <f t="shared" si="33"/>
        <v>8.8860692477895534E-2</v>
      </c>
      <c r="AE61" s="411">
        <f t="shared" si="34"/>
        <v>0</v>
      </c>
      <c r="AF61" s="411">
        <f t="shared" si="35"/>
        <v>5.7248399653033938E-2</v>
      </c>
      <c r="AG61" s="411">
        <f t="shared" si="20"/>
        <v>1</v>
      </c>
      <c r="AH61" s="1354">
        <f t="shared" si="31"/>
        <v>0.78201761382701329</v>
      </c>
      <c r="AI61" s="1238">
        <f t="shared" si="31"/>
        <v>0.21798238617298668</v>
      </c>
      <c r="AJ61" s="1"/>
      <c r="AK61" s="990">
        <f t="shared" si="0"/>
        <v>2005</v>
      </c>
      <c r="AL61" s="766">
        <f t="shared" si="1"/>
        <v>21851.918832000003</v>
      </c>
      <c r="AM61" s="1236">
        <f t="shared" si="2"/>
        <v>1990.3065453613035</v>
      </c>
      <c r="AN61" s="1236">
        <f t="shared" si="3"/>
        <v>1014.3322940386965</v>
      </c>
      <c r="AO61" s="1236">
        <f t="shared" si="4"/>
        <v>2458.3408686000002</v>
      </c>
      <c r="AP61" s="1236">
        <f t="shared" si="5"/>
        <v>0</v>
      </c>
      <c r="AQ61" s="663">
        <f t="shared" si="10"/>
        <v>27314.898540000002</v>
      </c>
      <c r="AR61" s="1"/>
      <c r="AS61" s="1239">
        <f t="shared" si="11"/>
        <v>56393.852735746092</v>
      </c>
      <c r="AT61" s="1240">
        <f t="shared" si="12"/>
        <v>4589.3967627650773</v>
      </c>
      <c r="AU61" s="1240">
        <f t="shared" si="13"/>
        <v>1279.2648653351275</v>
      </c>
      <c r="AV61" s="1236">
        <f t="shared" si="14"/>
        <v>0</v>
      </c>
      <c r="AW61" s="1240">
        <f t="shared" si="15"/>
        <v>3780.8785520941069</v>
      </c>
      <c r="AX61" s="744">
        <f t="shared" si="16"/>
        <v>66043.392915940407</v>
      </c>
      <c r="AY61" s="1"/>
      <c r="AZ61" s="1150">
        <f t="shared" si="22"/>
        <v>93.358291455940389</v>
      </c>
      <c r="BA61" s="411">
        <f t="shared" si="17"/>
        <v>0.16187656878153692</v>
      </c>
      <c r="BB61" s="1360">
        <f>'Input data'!D105/10^6</f>
        <v>0</v>
      </c>
    </row>
    <row r="62" spans="1:54">
      <c r="A62" s="990">
        <f>'Input data'!A106</f>
        <v>2006</v>
      </c>
      <c r="B62" s="1647">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2">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5">
        <f t="shared" si="6"/>
        <v>0.99999999999999989</v>
      </c>
      <c r="T62" s="648">
        <f t="shared" si="29"/>
        <v>0.8</v>
      </c>
      <c r="U62" s="411">
        <f t="shared" si="29"/>
        <v>0.11</v>
      </c>
      <c r="V62" s="411">
        <f t="shared" si="29"/>
        <v>0.09</v>
      </c>
      <c r="W62" s="411">
        <f t="shared" si="29"/>
        <v>0</v>
      </c>
      <c r="X62" s="1152">
        <f t="shared" si="8"/>
        <v>1</v>
      </c>
      <c r="Y62" s="648">
        <f>'Input data'!$G$35</f>
        <v>0.66241124199764068</v>
      </c>
      <c r="Z62" s="1152">
        <f>'Input data'!$H$35</f>
        <v>0.33758875800235938</v>
      </c>
      <c r="AA62" s="1356">
        <f>'Input data'!J106</f>
        <v>28.06789123869763</v>
      </c>
      <c r="AB62" s="1236">
        <f>'Input data'!L106</f>
        <v>69744.331020767189</v>
      </c>
      <c r="AC62" s="411">
        <f t="shared" si="32"/>
        <v>0.84364227055194874</v>
      </c>
      <c r="AD62" s="411">
        <f t="shared" si="33"/>
        <v>8.8860692477895534E-2</v>
      </c>
      <c r="AE62" s="411">
        <f t="shared" si="34"/>
        <v>0</v>
      </c>
      <c r="AF62" s="411">
        <f t="shared" si="35"/>
        <v>6.7497036970155674E-2</v>
      </c>
      <c r="AG62" s="411">
        <f t="shared" si="20"/>
        <v>0.99999999999999989</v>
      </c>
      <c r="AH62" s="1354">
        <f t="shared" si="31"/>
        <v>0.78201761382701329</v>
      </c>
      <c r="AI62" s="1238">
        <f t="shared" si="31"/>
        <v>0.21798238617298668</v>
      </c>
      <c r="AJ62" s="1"/>
      <c r="AK62" s="990">
        <f t="shared" si="0"/>
        <v>2006</v>
      </c>
      <c r="AL62" s="766">
        <f t="shared" si="1"/>
        <v>22098.689304000003</v>
      </c>
      <c r="AM62" s="1236">
        <f t="shared" si="2"/>
        <v>2012.7827814026102</v>
      </c>
      <c r="AN62" s="1236">
        <f t="shared" si="3"/>
        <v>1025.7869978973904</v>
      </c>
      <c r="AO62" s="1236">
        <f t="shared" si="4"/>
        <v>2486.1025467000004</v>
      </c>
      <c r="AP62" s="1236">
        <f t="shared" si="5"/>
        <v>0</v>
      </c>
      <c r="AQ62" s="663">
        <f t="shared" si="10"/>
        <v>27623.361630000003</v>
      </c>
      <c r="AR62" s="1"/>
      <c r="AS62" s="1239">
        <f t="shared" si="11"/>
        <v>58839.265780486741</v>
      </c>
      <c r="AT62" s="1240">
        <f t="shared" si="12"/>
        <v>4846.5772710273404</v>
      </c>
      <c r="AU62" s="1240">
        <f t="shared" si="13"/>
        <v>1350.9522798856019</v>
      </c>
      <c r="AV62" s="1236">
        <f t="shared" si="14"/>
        <v>0</v>
      </c>
      <c r="AW62" s="1240">
        <f t="shared" si="15"/>
        <v>4707.535689367498</v>
      </c>
      <c r="AX62" s="744">
        <f t="shared" si="16"/>
        <v>69744.331020767189</v>
      </c>
      <c r="AY62" s="1"/>
      <c r="AZ62" s="1150">
        <f t="shared" si="22"/>
        <v>97.367692650767196</v>
      </c>
      <c r="BA62" s="411">
        <f t="shared" si="17"/>
        <v>0.16873910759300498</v>
      </c>
      <c r="BB62" s="1360">
        <f>'Input data'!D106/10^6</f>
        <v>0</v>
      </c>
    </row>
    <row r="63" spans="1:54">
      <c r="A63" s="990">
        <f>'Input data'!A107</f>
        <v>2007</v>
      </c>
      <c r="B63" s="1647">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2">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5">
        <f t="shared" si="6"/>
        <v>0.99999999999999989</v>
      </c>
      <c r="T63" s="648">
        <f t="shared" si="29"/>
        <v>0.8</v>
      </c>
      <c r="U63" s="411">
        <f t="shared" si="29"/>
        <v>0.11</v>
      </c>
      <c r="V63" s="411">
        <f t="shared" si="29"/>
        <v>0.09</v>
      </c>
      <c r="W63" s="411">
        <f t="shared" si="29"/>
        <v>0</v>
      </c>
      <c r="X63" s="1152">
        <f t="shared" si="8"/>
        <v>1</v>
      </c>
      <c r="Y63" s="648">
        <f>'Input data'!$G$35</f>
        <v>0.66241124199764068</v>
      </c>
      <c r="Z63" s="1152">
        <f>'Input data'!$H$35</f>
        <v>0.33758875800235938</v>
      </c>
      <c r="AA63" s="1356">
        <f>'Input data'!J107</f>
        <v>28.06789123869763</v>
      </c>
      <c r="AB63" s="1236">
        <f>'Input data'!L107</f>
        <v>73482.959070474637</v>
      </c>
      <c r="AC63" s="411">
        <f t="shared" si="32"/>
        <v>0.83339363323482696</v>
      </c>
      <c r="AD63" s="411">
        <f t="shared" si="33"/>
        <v>8.8860692477895534E-2</v>
      </c>
      <c r="AE63" s="411">
        <f t="shared" si="34"/>
        <v>0</v>
      </c>
      <c r="AF63" s="411">
        <f t="shared" si="35"/>
        <v>7.7745674287277411E-2</v>
      </c>
      <c r="AG63" s="411">
        <f t="shared" si="20"/>
        <v>0.99999999999999989</v>
      </c>
      <c r="AH63" s="1354">
        <f t="shared" si="31"/>
        <v>0.78201761382701329</v>
      </c>
      <c r="AI63" s="1238">
        <f t="shared" si="31"/>
        <v>0.21798238617298668</v>
      </c>
      <c r="AJ63" s="1"/>
      <c r="AK63" s="990">
        <f t="shared" si="0"/>
        <v>2007</v>
      </c>
      <c r="AL63" s="766">
        <f t="shared" si="1"/>
        <v>22342.218888000003</v>
      </c>
      <c r="AM63" s="1236">
        <f t="shared" si="2"/>
        <v>2034.9638323551937</v>
      </c>
      <c r="AN63" s="1236">
        <f t="shared" si="3"/>
        <v>1037.0912647448067</v>
      </c>
      <c r="AO63" s="1236">
        <f t="shared" si="4"/>
        <v>2513.4996249000001</v>
      </c>
      <c r="AP63" s="1236">
        <f t="shared" si="5"/>
        <v>0</v>
      </c>
      <c r="AQ63" s="663">
        <f t="shared" si="10"/>
        <v>27927.773610000004</v>
      </c>
      <c r="AR63" s="1"/>
      <c r="AS63" s="1239">
        <f t="shared" si="11"/>
        <v>61240.230240588942</v>
      </c>
      <c r="AT63" s="1240">
        <f t="shared" si="12"/>
        <v>5106.3768771794466</v>
      </c>
      <c r="AU63" s="1240">
        <f t="shared" si="13"/>
        <v>1423.3697511477842</v>
      </c>
      <c r="AV63" s="1236">
        <f t="shared" si="14"/>
        <v>0</v>
      </c>
      <c r="AW63" s="1240">
        <f t="shared" si="15"/>
        <v>5712.9822015584587</v>
      </c>
      <c r="AX63" s="744">
        <f t="shared" si="16"/>
        <v>73482.959070474637</v>
      </c>
      <c r="AY63" s="1"/>
      <c r="AZ63" s="1150">
        <f t="shared" si="22"/>
        <v>101.41073268047464</v>
      </c>
      <c r="BA63" s="411">
        <f t="shared" si="17"/>
        <v>0.17580272896813717</v>
      </c>
      <c r="BB63" s="1360">
        <f>'Input data'!D107/10^6</f>
        <v>0</v>
      </c>
    </row>
    <row r="64" spans="1:54">
      <c r="A64" s="990">
        <f>'Input data'!A108</f>
        <v>2008</v>
      </c>
      <c r="B64" s="1647">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2">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5">
        <f t="shared" si="6"/>
        <v>0.99999999999999989</v>
      </c>
      <c r="T64" s="648">
        <f t="shared" si="29"/>
        <v>0.8</v>
      </c>
      <c r="U64" s="411">
        <f t="shared" si="29"/>
        <v>0.11</v>
      </c>
      <c r="V64" s="411">
        <f t="shared" si="29"/>
        <v>0.09</v>
      </c>
      <c r="W64" s="411">
        <f t="shared" si="29"/>
        <v>0</v>
      </c>
      <c r="X64" s="1152">
        <f t="shared" si="8"/>
        <v>1</v>
      </c>
      <c r="Y64" s="648">
        <f>'Input data'!$G$35</f>
        <v>0.66241124199764068</v>
      </c>
      <c r="Z64" s="1152">
        <f>'Input data'!$H$35</f>
        <v>0.33758875800235938</v>
      </c>
      <c r="AA64" s="1356">
        <f>'Input data'!J108</f>
        <v>28.06789123869763</v>
      </c>
      <c r="AB64" s="1236">
        <f>'Input data'!L108</f>
        <v>75827.834641083376</v>
      </c>
      <c r="AC64" s="411">
        <f t="shared" si="32"/>
        <v>0.82314499591770518</v>
      </c>
      <c r="AD64" s="411">
        <f t="shared" si="33"/>
        <v>8.8860692477895534E-2</v>
      </c>
      <c r="AE64" s="411">
        <f t="shared" si="34"/>
        <v>0</v>
      </c>
      <c r="AF64" s="411">
        <f t="shared" si="35"/>
        <v>8.7994311604399147E-2</v>
      </c>
      <c r="AG64" s="411">
        <f t="shared" si="20"/>
        <v>0.99999999999999989</v>
      </c>
      <c r="AH64" s="1354">
        <f t="shared" si="31"/>
        <v>0.78201761382701329</v>
      </c>
      <c r="AI64" s="1238">
        <f t="shared" si="31"/>
        <v>0.21798238617298668</v>
      </c>
      <c r="AJ64" s="1"/>
      <c r="AK64" s="990">
        <f t="shared" si="0"/>
        <v>2008</v>
      </c>
      <c r="AL64" s="766">
        <f t="shared" si="1"/>
        <v>22590.378312000001</v>
      </c>
      <c r="AM64" s="1236">
        <f t="shared" si="2"/>
        <v>2057.5665762916669</v>
      </c>
      <c r="AN64" s="1236">
        <f t="shared" si="3"/>
        <v>1048.6104416083335</v>
      </c>
      <c r="AO64" s="1236">
        <f t="shared" si="4"/>
        <v>2541.4175601000002</v>
      </c>
      <c r="AP64" s="1236">
        <f t="shared" si="5"/>
        <v>0</v>
      </c>
      <c r="AQ64" s="663">
        <f t="shared" si="10"/>
        <v>28237.972890000001</v>
      </c>
      <c r="AR64" s="1"/>
      <c r="AS64" s="1239">
        <f t="shared" si="11"/>
        <v>62417.302636082997</v>
      </c>
      <c r="AT64" s="1240">
        <f t="shared" si="12"/>
        <v>5269.3237501018584</v>
      </c>
      <c r="AU64" s="1240">
        <f t="shared" si="13"/>
        <v>1468.7901452041654</v>
      </c>
      <c r="AV64" s="1236">
        <f t="shared" si="14"/>
        <v>0</v>
      </c>
      <c r="AW64" s="1240">
        <f t="shared" si="15"/>
        <v>6672.418109694343</v>
      </c>
      <c r="AX64" s="744">
        <f t="shared" si="16"/>
        <v>75827.834641083376</v>
      </c>
      <c r="AY64" s="1"/>
      <c r="AZ64" s="1150">
        <f t="shared" si="22"/>
        <v>104.06580753108338</v>
      </c>
      <c r="BA64" s="411">
        <f t="shared" si="17"/>
        <v>0.1831353355645457</v>
      </c>
      <c r="BB64" s="1360">
        <f>'Input data'!D108/10^6</f>
        <v>0</v>
      </c>
    </row>
    <row r="65" spans="1:54">
      <c r="A65" s="990">
        <f>'Input data'!A109</f>
        <v>2009</v>
      </c>
      <c r="B65" s="1647">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2">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5">
        <f t="shared" si="6"/>
        <v>0.99999999999999989</v>
      </c>
      <c r="T65" s="648">
        <f t="shared" si="29"/>
        <v>0.8</v>
      </c>
      <c r="U65" s="411">
        <f t="shared" si="29"/>
        <v>0.11</v>
      </c>
      <c r="V65" s="411">
        <f t="shared" si="29"/>
        <v>0.09</v>
      </c>
      <c r="W65" s="411">
        <f t="shared" si="29"/>
        <v>0</v>
      </c>
      <c r="X65" s="1152">
        <f t="shared" si="8"/>
        <v>1</v>
      </c>
      <c r="Y65" s="648">
        <f>'Input data'!$G$35</f>
        <v>0.66241124199764068</v>
      </c>
      <c r="Z65" s="1152">
        <f>'Input data'!$H$35</f>
        <v>0.33758875800235938</v>
      </c>
      <c r="AA65" s="1356">
        <f>'Input data'!J109</f>
        <v>28.06789123869763</v>
      </c>
      <c r="AB65" s="1236">
        <f>'Input data'!L109</f>
        <v>74661.534804265713</v>
      </c>
      <c r="AC65" s="411">
        <f t="shared" si="32"/>
        <v>0.8128963586005834</v>
      </c>
      <c r="AD65" s="411">
        <f t="shared" si="33"/>
        <v>8.8860692477895534E-2</v>
      </c>
      <c r="AE65" s="411">
        <f t="shared" si="34"/>
        <v>0</v>
      </c>
      <c r="AF65" s="411">
        <f t="shared" si="35"/>
        <v>9.8242948921520884E-2</v>
      </c>
      <c r="AG65" s="411">
        <f t="shared" si="20"/>
        <v>0.99999999999999978</v>
      </c>
      <c r="AH65" s="1354">
        <f t="shared" si="31"/>
        <v>0.78201761382701329</v>
      </c>
      <c r="AI65" s="1238">
        <f t="shared" si="31"/>
        <v>0.21798238617298668</v>
      </c>
      <c r="AJ65" s="1"/>
      <c r="AK65" s="990">
        <f t="shared" si="0"/>
        <v>2009</v>
      </c>
      <c r="AL65" s="766">
        <f t="shared" si="1"/>
        <v>22834.370880000002</v>
      </c>
      <c r="AM65" s="1236">
        <f t="shared" si="2"/>
        <v>2079.7897965426396</v>
      </c>
      <c r="AN65" s="1236">
        <f t="shared" si="3"/>
        <v>1059.9361994573608</v>
      </c>
      <c r="AO65" s="1236">
        <f t="shared" si="4"/>
        <v>2568.866724</v>
      </c>
      <c r="AP65" s="1236">
        <f t="shared" si="5"/>
        <v>0</v>
      </c>
      <c r="AQ65" s="663">
        <f t="shared" si="10"/>
        <v>28542.963599999999</v>
      </c>
      <c r="AR65" s="1"/>
      <c r="AS65" s="1239">
        <f t="shared" si="11"/>
        <v>60692.089769918319</v>
      </c>
      <c r="AT65" s="1240">
        <f t="shared" si="12"/>
        <v>5188.276843527613</v>
      </c>
      <c r="AU65" s="1240">
        <f t="shared" si="13"/>
        <v>1446.1988406419368</v>
      </c>
      <c r="AV65" s="1236">
        <f t="shared" si="14"/>
        <v>0</v>
      </c>
      <c r="AW65" s="1240">
        <f t="shared" si="15"/>
        <v>7334.9693501778302</v>
      </c>
      <c r="AX65" s="744">
        <f t="shared" si="16"/>
        <v>74661.534804265699</v>
      </c>
      <c r="AY65" s="1"/>
      <c r="AZ65" s="1150">
        <f t="shared" si="22"/>
        <v>103.20449840426571</v>
      </c>
      <c r="BA65" s="411">
        <f t="shared" si="17"/>
        <v>0.19067034924452517</v>
      </c>
      <c r="BB65" s="1360">
        <f>'Input data'!D109/10^6</f>
        <v>0</v>
      </c>
    </row>
    <row r="66" spans="1:54" s="1243" customFormat="1">
      <c r="A66" s="1241">
        <f>'Input data'!A110</f>
        <v>2010</v>
      </c>
      <c r="B66" s="1648">
        <f>'Input data'!I110</f>
        <v>559.42164173673609</v>
      </c>
      <c r="C66" s="532">
        <f>B66*'Input data'!B110</f>
        <v>27898.357273411028</v>
      </c>
      <c r="D66" s="1232">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3">
        <f>'Input data'!U110</f>
        <v>1</v>
      </c>
      <c r="L66" s="1232">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2">
        <f>($T$73-$T$65)/($A$73-$A$65)+T65</f>
        <v>0.75808980601378384</v>
      </c>
      <c r="U66" s="415">
        <f t="shared" ref="U66:U72" si="36">($U$73-$U$65)/($A$73-$A$65)+U65</f>
        <v>0.14797665887920658</v>
      </c>
      <c r="V66" s="415">
        <f t="shared" ref="V66:V72" si="37">($V$73-$V$65)/($A$73-$A$65)+V65</f>
        <v>9.3933535107009608E-2</v>
      </c>
      <c r="W66" s="415">
        <f t="shared" si="29"/>
        <v>0</v>
      </c>
      <c r="X66" s="1233">
        <f t="shared" si="8"/>
        <v>1</v>
      </c>
      <c r="Y66" s="1232">
        <f>'Input data'!$G$35</f>
        <v>0.66241124199764068</v>
      </c>
      <c r="Z66" s="1233">
        <f>'Input data'!$H$35</f>
        <v>0.33758875800235938</v>
      </c>
      <c r="AA66" s="1355">
        <f>'Input data'!J110</f>
        <v>28.06789123869763</v>
      </c>
      <c r="AB66" s="471">
        <f>'Input data'!L110</f>
        <v>76931.04448391631</v>
      </c>
      <c r="AC66" s="411">
        <f t="shared" si="32"/>
        <v>0.80264772128346162</v>
      </c>
      <c r="AD66" s="411">
        <f t="shared" si="33"/>
        <v>8.8860692477895534E-2</v>
      </c>
      <c r="AE66" s="411">
        <f t="shared" si="34"/>
        <v>0</v>
      </c>
      <c r="AF66" s="411">
        <f t="shared" si="35"/>
        <v>0.10849158623864262</v>
      </c>
      <c r="AG66" s="415">
        <f t="shared" si="20"/>
        <v>0.99999999999999978</v>
      </c>
      <c r="AH66" s="1353">
        <f t="shared" si="31"/>
        <v>0.78201761382701329</v>
      </c>
      <c r="AI66" s="1234">
        <f t="shared" si="31"/>
        <v>0.21798238617298668</v>
      </c>
      <c r="AJ66" s="413"/>
      <c r="AK66" s="1241">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61748.527550972045</v>
      </c>
      <c r="AT66" s="517">
        <f t="shared" si="12"/>
        <v>5345.9864934559482</v>
      </c>
      <c r="AU66" s="517">
        <f t="shared" si="13"/>
        <v>1490.1593924326405</v>
      </c>
      <c r="AV66" s="471">
        <f t="shared" si="14"/>
        <v>0</v>
      </c>
      <c r="AW66" s="517">
        <f t="shared" si="15"/>
        <v>8346.371047055658</v>
      </c>
      <c r="AX66" s="534">
        <f t="shared" si="16"/>
        <v>76931.044483916296</v>
      </c>
      <c r="AY66" s="413"/>
      <c r="AZ66" s="1242">
        <f t="shared" si="22"/>
        <v>104.82940175732732</v>
      </c>
      <c r="BA66" s="415">
        <f t="shared" si="17"/>
        <v>0.20921052286095793</v>
      </c>
      <c r="BB66" s="1361">
        <f>'Input data'!D110/10^6</f>
        <v>0</v>
      </c>
    </row>
    <row r="67" spans="1:54">
      <c r="A67" s="990">
        <f>'Input data'!A111</f>
        <v>2011</v>
      </c>
      <c r="B67" s="1647">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2">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5">
        <f t="shared" si="6"/>
        <v>0.99999999999999989</v>
      </c>
      <c r="T67" s="648">
        <f t="shared" ref="T67:T72" si="38">($T$73-$T$65)/($A$73-$A$65)+T66</f>
        <v>0.71617961202756764</v>
      </c>
      <c r="U67" s="411">
        <f t="shared" si="36"/>
        <v>0.18595331775841314</v>
      </c>
      <c r="V67" s="411">
        <f t="shared" si="37"/>
        <v>9.7867070214019219E-2</v>
      </c>
      <c r="W67" s="411">
        <f t="shared" si="29"/>
        <v>0</v>
      </c>
      <c r="X67" s="1152">
        <f t="shared" si="8"/>
        <v>1</v>
      </c>
      <c r="Y67" s="648">
        <f>'Input data'!$G$35</f>
        <v>0.66241124199764068</v>
      </c>
      <c r="Z67" s="1152">
        <f>'Input data'!$H$35</f>
        <v>0.33758875800235938</v>
      </c>
      <c r="AA67" s="1356">
        <f>'Input data'!J111</f>
        <v>28.06789123869763</v>
      </c>
      <c r="AB67" s="1236">
        <f>'Input data'!L111</f>
        <v>79457.589338164951</v>
      </c>
      <c r="AC67" s="411">
        <f t="shared" si="32"/>
        <v>0.79239908396633985</v>
      </c>
      <c r="AD67" s="411">
        <f t="shared" si="33"/>
        <v>8.8860692477895534E-2</v>
      </c>
      <c r="AE67" s="411">
        <f t="shared" si="34"/>
        <v>0</v>
      </c>
      <c r="AF67" s="411">
        <f t="shared" si="35"/>
        <v>0.11874022355576436</v>
      </c>
      <c r="AG67" s="411">
        <f t="shared" si="20"/>
        <v>0.99999999999999978</v>
      </c>
      <c r="AH67" s="1354">
        <f t="shared" si="31"/>
        <v>0.78201761382701329</v>
      </c>
      <c r="AI67" s="1238">
        <f t="shared" si="31"/>
        <v>0.21798238617298668</v>
      </c>
      <c r="AJ67" s="1"/>
      <c r="AK67" s="990">
        <f t="shared" si="0"/>
        <v>2011</v>
      </c>
      <c r="AL67" s="766">
        <f t="shared" si="1"/>
        <v>20025.960984172027</v>
      </c>
      <c r="AM67" s="1236">
        <f t="shared" si="2"/>
        <v>3444.3163877741108</v>
      </c>
      <c r="AN67" s="1236">
        <f t="shared" si="3"/>
        <v>1755.3483663853285</v>
      </c>
      <c r="AO67" s="1236">
        <f t="shared" si="4"/>
        <v>2736.5790603736596</v>
      </c>
      <c r="AP67" s="1236">
        <f t="shared" si="5"/>
        <v>0</v>
      </c>
      <c r="AQ67" s="663">
        <f t="shared" si="10"/>
        <v>27962.204798705126</v>
      </c>
      <c r="AR67" s="1"/>
      <c r="AS67" s="1239">
        <f t="shared" si="11"/>
        <v>62962.12100573552</v>
      </c>
      <c r="AT67" s="1240">
        <f t="shared" si="12"/>
        <v>5521.557678749652</v>
      </c>
      <c r="AU67" s="1240">
        <f t="shared" si="13"/>
        <v>1539.0987324639343</v>
      </c>
      <c r="AV67" s="1236">
        <f t="shared" si="14"/>
        <v>0</v>
      </c>
      <c r="AW67" s="1240">
        <f t="shared" si="15"/>
        <v>9434.8119212158254</v>
      </c>
      <c r="AX67" s="744">
        <f t="shared" si="16"/>
        <v>79457.589338164922</v>
      </c>
      <c r="AY67" s="1"/>
      <c r="AZ67" s="1150">
        <f t="shared" si="22"/>
        <v>107.41979413687004</v>
      </c>
      <c r="BA67" s="411">
        <f t="shared" si="17"/>
        <v>0.22744143519612944</v>
      </c>
      <c r="BB67" s="1360">
        <f>'Input data'!D111/10^6</f>
        <v>0</v>
      </c>
    </row>
    <row r="68" spans="1:54">
      <c r="A68" s="990">
        <f>'Input data'!A112</f>
        <v>2012</v>
      </c>
      <c r="B68" s="1647">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2">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5">
        <f t="shared" si="6"/>
        <v>0.99999999999999989</v>
      </c>
      <c r="T68" s="648">
        <f t="shared" si="38"/>
        <v>0.67426941804135143</v>
      </c>
      <c r="U68" s="411">
        <f t="shared" si="36"/>
        <v>0.22392997663761971</v>
      </c>
      <c r="V68" s="411">
        <f t="shared" si="37"/>
        <v>0.10180060532102883</v>
      </c>
      <c r="W68" s="411">
        <f t="shared" si="29"/>
        <v>0</v>
      </c>
      <c r="X68" s="1152">
        <f t="shared" si="8"/>
        <v>1</v>
      </c>
      <c r="Y68" s="648">
        <f>'Input data'!$G$35</f>
        <v>0.66241124199764068</v>
      </c>
      <c r="Z68" s="1152">
        <f>'Input data'!$H$35</f>
        <v>0.33758875800235938</v>
      </c>
      <c r="AA68" s="1356">
        <f>'Input data'!J112</f>
        <v>28.06789123869763</v>
      </c>
      <c r="AB68" s="1236">
        <f>'Input data'!L112</f>
        <v>81216.267712103698</v>
      </c>
      <c r="AC68" s="411">
        <f>'Input data'!B36</f>
        <v>0.7821504466492184</v>
      </c>
      <c r="AD68" s="411">
        <f>'Input data'!C36</f>
        <v>8.8860692477895534E-2</v>
      </c>
      <c r="AE68" s="411">
        <f>'Input data'!D36</f>
        <v>0</v>
      </c>
      <c r="AF68" s="411">
        <f>'Input data'!E36</f>
        <v>0.12898886087288614</v>
      </c>
      <c r="AG68" s="411">
        <f t="shared" si="20"/>
        <v>1</v>
      </c>
      <c r="AH68" s="1354">
        <f t="shared" si="31"/>
        <v>0.78201761382701329</v>
      </c>
      <c r="AI68" s="1238">
        <f t="shared" si="31"/>
        <v>0.21798238617298668</v>
      </c>
      <c r="AJ68" s="1"/>
      <c r="AK68" s="990">
        <f t="shared" si="0"/>
        <v>2012</v>
      </c>
      <c r="AL68" s="766">
        <f t="shared" si="1"/>
        <v>18374.747292487624</v>
      </c>
      <c r="AM68" s="1236">
        <f t="shared" si="2"/>
        <v>4042.2934857529522</v>
      </c>
      <c r="AN68" s="1236">
        <f t="shared" si="3"/>
        <v>2060.099151127069</v>
      </c>
      <c r="AO68" s="1236">
        <f t="shared" si="4"/>
        <v>2774.2032293706347</v>
      </c>
      <c r="AP68" s="1236">
        <f t="shared" si="5"/>
        <v>0</v>
      </c>
      <c r="AQ68" s="663">
        <f t="shared" si="10"/>
        <v>27251.34315873828</v>
      </c>
      <c r="AR68" s="1"/>
      <c r="AS68" s="1239">
        <f t="shared" si="11"/>
        <v>63523.340066204401</v>
      </c>
      <c r="AT68" s="1240">
        <f t="shared" si="12"/>
        <v>5643.7693411088603</v>
      </c>
      <c r="AU68" s="1240">
        <f t="shared" si="13"/>
        <v>1573.1644482588224</v>
      </c>
      <c r="AV68" s="1236">
        <f t="shared" si="14"/>
        <v>0</v>
      </c>
      <c r="AW68" s="1240">
        <f t="shared" si="15"/>
        <v>10475.993856531619</v>
      </c>
      <c r="AX68" s="744">
        <f t="shared" si="16"/>
        <v>81216.267712103698</v>
      </c>
      <c r="AY68" s="1"/>
      <c r="AZ68" s="1150">
        <f t="shared" si="22"/>
        <v>108.46761087084198</v>
      </c>
      <c r="BA68" s="411">
        <f t="shared" si="17"/>
        <v>0.24495352390298028</v>
      </c>
      <c r="BB68" s="1360">
        <f>'Input data'!D112/10^6</f>
        <v>0</v>
      </c>
    </row>
    <row r="69" spans="1:54">
      <c r="A69" s="990">
        <f>'Input data'!A113</f>
        <v>2013</v>
      </c>
      <c r="B69" s="1647">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2">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5">
        <f t="shared" si="6"/>
        <v>0.99999999999999989</v>
      </c>
      <c r="T69" s="648">
        <f t="shared" si="38"/>
        <v>0.63235922405513523</v>
      </c>
      <c r="U69" s="411">
        <f t="shared" si="36"/>
        <v>0.26190663551682625</v>
      </c>
      <c r="V69" s="411">
        <f t="shared" si="37"/>
        <v>0.10573414042803844</v>
      </c>
      <c r="W69" s="411">
        <f t="shared" si="29"/>
        <v>0</v>
      </c>
      <c r="X69" s="1152">
        <f t="shared" si="8"/>
        <v>0.99999999999999989</v>
      </c>
      <c r="Y69" s="648">
        <f>'Input data'!$G$35</f>
        <v>0.66241124199764068</v>
      </c>
      <c r="Z69" s="1152">
        <f>'Input data'!$H$35</f>
        <v>0.33758875800235938</v>
      </c>
      <c r="AA69" s="1356">
        <f>'Input data'!J113</f>
        <v>28.06789123869763</v>
      </c>
      <c r="AB69" s="1236">
        <f>'Input data'!L113</f>
        <v>83339.078958887578</v>
      </c>
      <c r="AC69" s="411">
        <f t="shared" si="30"/>
        <v>0.7821504466492184</v>
      </c>
      <c r="AD69" s="411">
        <f t="shared" si="30"/>
        <v>8.8860692477895534E-2</v>
      </c>
      <c r="AE69" s="411">
        <f t="shared" si="30"/>
        <v>0</v>
      </c>
      <c r="AF69" s="411">
        <f t="shared" si="30"/>
        <v>0.12898886087288614</v>
      </c>
      <c r="AG69" s="411">
        <f t="shared" si="20"/>
        <v>1</v>
      </c>
      <c r="AH69" s="1354">
        <f t="shared" si="31"/>
        <v>0.78201761382701329</v>
      </c>
      <c r="AI69" s="1238">
        <f t="shared" si="31"/>
        <v>0.21798238617298668</v>
      </c>
      <c r="AJ69" s="1"/>
      <c r="AK69" s="990">
        <f t="shared" si="0"/>
        <v>2013</v>
      </c>
      <c r="AL69" s="766">
        <f t="shared" si="1"/>
        <v>16840.780594786906</v>
      </c>
      <c r="AM69" s="1236">
        <f t="shared" si="2"/>
        <v>4620.3253237331637</v>
      </c>
      <c r="AN69" s="1236">
        <f t="shared" si="3"/>
        <v>2354.6851090602163</v>
      </c>
      <c r="AO69" s="1236">
        <f t="shared" si="4"/>
        <v>2815.8764711428162</v>
      </c>
      <c r="AP69" s="1236">
        <f t="shared" si="5"/>
        <v>0</v>
      </c>
      <c r="AQ69" s="663">
        <f t="shared" si="10"/>
        <v>26631.667498723102</v>
      </c>
      <c r="AR69" s="1"/>
      <c r="AS69" s="1239">
        <f t="shared" si="11"/>
        <v>65183.697831028396</v>
      </c>
      <c r="AT69" s="1240">
        <f t="shared" si="12"/>
        <v>5791.2848250021752</v>
      </c>
      <c r="AU69" s="1240">
        <f t="shared" si="13"/>
        <v>1614.2834417545885</v>
      </c>
      <c r="AV69" s="1236">
        <f t="shared" si="14"/>
        <v>0</v>
      </c>
      <c r="AW69" s="1240">
        <f t="shared" si="15"/>
        <v>10749.812861102422</v>
      </c>
      <c r="AX69" s="744">
        <f t="shared" si="16"/>
        <v>83339.078958887578</v>
      </c>
      <c r="AY69" s="1"/>
      <c r="AZ69" s="1150">
        <f t="shared" si="22"/>
        <v>109.97074645761069</v>
      </c>
      <c r="BA69" s="411">
        <f t="shared" si="17"/>
        <v>0.25412456432281788</v>
      </c>
      <c r="BB69" s="1360">
        <f>'Input data'!D113/10^6</f>
        <v>0</v>
      </c>
    </row>
    <row r="70" spans="1:54">
      <c r="A70" s="990">
        <f>'Input data'!A114</f>
        <v>2014</v>
      </c>
      <c r="B70" s="1647">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2">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5">
        <f t="shared" si="6"/>
        <v>0.99999999999999989</v>
      </c>
      <c r="T70" s="648">
        <f t="shared" si="38"/>
        <v>0.59044903006891902</v>
      </c>
      <c r="U70" s="411">
        <f t="shared" si="36"/>
        <v>0.29988329439603278</v>
      </c>
      <c r="V70" s="411">
        <f t="shared" si="37"/>
        <v>0.10966767553504805</v>
      </c>
      <c r="W70" s="411">
        <f t="shared" si="29"/>
        <v>0</v>
      </c>
      <c r="X70" s="1152">
        <f t="shared" si="8"/>
        <v>0.99999999999999989</v>
      </c>
      <c r="Y70" s="648">
        <f>'Input data'!$G$35</f>
        <v>0.66241124199764068</v>
      </c>
      <c r="Z70" s="1152">
        <f>'Input data'!$H$35</f>
        <v>0.33758875800235938</v>
      </c>
      <c r="AA70" s="1356">
        <f>'Input data'!J114</f>
        <v>28.06789123869763</v>
      </c>
      <c r="AB70" s="1236">
        <f>'Input data'!L114</f>
        <v>84827.268250850117</v>
      </c>
      <c r="AC70" s="411">
        <f t="shared" si="30"/>
        <v>0.7821504466492184</v>
      </c>
      <c r="AD70" s="411">
        <f t="shared" si="30"/>
        <v>8.8860692477895534E-2</v>
      </c>
      <c r="AE70" s="411">
        <f t="shared" si="30"/>
        <v>0</v>
      </c>
      <c r="AF70" s="411">
        <f t="shared" si="30"/>
        <v>0.12898886087288614</v>
      </c>
      <c r="AG70" s="411">
        <f t="shared" si="20"/>
        <v>1</v>
      </c>
      <c r="AH70" s="1354">
        <f t="shared" si="31"/>
        <v>0.78201761382701329</v>
      </c>
      <c r="AI70" s="1238">
        <f t="shared" si="31"/>
        <v>0.21798238617298668</v>
      </c>
      <c r="AJ70" s="1"/>
      <c r="AK70" s="990">
        <f t="shared" ref="AK70:AK73" si="39">A70</f>
        <v>2014</v>
      </c>
      <c r="AL70" s="766">
        <f t="shared" ref="AL70:AL73" si="40">C70*T70</f>
        <v>15349.258096732552</v>
      </c>
      <c r="AM70" s="1236">
        <f t="shared" ref="AM70:AM73" si="41">C70*Y70*U70</f>
        <v>5163.9846522072812</v>
      </c>
      <c r="AN70" s="1236">
        <f t="shared" ref="AN70:AN73" si="42">C70*U70*Z70</f>
        <v>2631.7535913560341</v>
      </c>
      <c r="AO70" s="1236">
        <f t="shared" ref="AO70:AO73" si="43">C70*V70</f>
        <v>2850.9106983539168</v>
      </c>
      <c r="AP70" s="1236">
        <f t="shared" ref="AP70:AP73" si="44">C70*W70</f>
        <v>0</v>
      </c>
      <c r="AQ70" s="663">
        <f t="shared" si="10"/>
        <v>25995.907038649784</v>
      </c>
      <c r="AR70" s="1"/>
      <c r="AS70" s="1239">
        <f t="shared" si="11"/>
        <v>66347.685750435485</v>
      </c>
      <c r="AT70" s="1240">
        <f t="shared" si="12"/>
        <v>5894.700031540815</v>
      </c>
      <c r="AU70" s="1240">
        <f t="shared" si="13"/>
        <v>1643.1097662379286</v>
      </c>
      <c r="AV70" s="1236">
        <f t="shared" si="14"/>
        <v>0</v>
      </c>
      <c r="AW70" s="1240">
        <f t="shared" si="15"/>
        <v>10941.772702635897</v>
      </c>
      <c r="AX70" s="744">
        <f t="shared" si="16"/>
        <v>84827.268250850131</v>
      </c>
      <c r="AY70" s="1"/>
      <c r="AZ70" s="1150">
        <f t="shared" si="22"/>
        <v>110.82317528949993</v>
      </c>
      <c r="BA70" s="411">
        <f t="shared" si="17"/>
        <v>0.26281715323754568</v>
      </c>
      <c r="BB70" s="1360">
        <f>'Input data'!D114/10^6</f>
        <v>0</v>
      </c>
    </row>
    <row r="71" spans="1:54">
      <c r="A71" s="990">
        <f>'Input data'!A115</f>
        <v>2015</v>
      </c>
      <c r="B71" s="1647">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2">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5">
        <f t="shared" ref="S71:S73" si="45">SUM(L71:R71)</f>
        <v>0.99999999999999989</v>
      </c>
      <c r="T71" s="648">
        <f t="shared" si="38"/>
        <v>0.54853883608270282</v>
      </c>
      <c r="U71" s="411">
        <f t="shared" si="36"/>
        <v>0.33785995327523932</v>
      </c>
      <c r="V71" s="411">
        <f t="shared" si="37"/>
        <v>0.11360121064205767</v>
      </c>
      <c r="W71" s="411">
        <f t="shared" si="29"/>
        <v>0</v>
      </c>
      <c r="X71" s="1152">
        <f t="shared" ref="X71:X72" si="46">SUM(T71:W71)</f>
        <v>0.99999999999999978</v>
      </c>
      <c r="Y71" s="648">
        <f>'Input data'!$G$35</f>
        <v>0.66241124199764068</v>
      </c>
      <c r="Z71" s="1152">
        <f>'Input data'!$H$35</f>
        <v>0.33758875800235938</v>
      </c>
      <c r="AA71" s="1356">
        <f>'Input data'!J115</f>
        <v>28.06789123869763</v>
      </c>
      <c r="AB71" s="1236">
        <f>'Input data'!L115</f>
        <v>85894.248849119918</v>
      </c>
      <c r="AC71" s="411">
        <f t="shared" si="30"/>
        <v>0.7821504466492184</v>
      </c>
      <c r="AD71" s="411">
        <f t="shared" si="30"/>
        <v>8.8860692477895534E-2</v>
      </c>
      <c r="AE71" s="411">
        <f t="shared" si="30"/>
        <v>0</v>
      </c>
      <c r="AF71" s="411">
        <f t="shared" si="30"/>
        <v>0.12898886087288614</v>
      </c>
      <c r="AG71" s="411">
        <f t="shared" si="20"/>
        <v>1</v>
      </c>
      <c r="AH71" s="1354">
        <f t="shared" si="31"/>
        <v>0.78201761382701329</v>
      </c>
      <c r="AI71" s="1238">
        <f t="shared" si="31"/>
        <v>0.21798238617298668</v>
      </c>
      <c r="AJ71" s="1"/>
      <c r="AK71" s="990">
        <f t="shared" si="39"/>
        <v>2015</v>
      </c>
      <c r="AL71" s="766">
        <f t="shared" si="40"/>
        <v>13901.564482903679</v>
      </c>
      <c r="AM71" s="1236">
        <f t="shared" si="41"/>
        <v>5671.7974093505181</v>
      </c>
      <c r="AN71" s="1236">
        <f t="shared" si="42"/>
        <v>2890.5533627257801</v>
      </c>
      <c r="AO71" s="1236">
        <f t="shared" si="43"/>
        <v>2878.9840412291032</v>
      </c>
      <c r="AP71" s="1236">
        <f t="shared" si="44"/>
        <v>0</v>
      </c>
      <c r="AQ71" s="663">
        <f t="shared" ref="AQ71:AQ73" si="47">SUM(AL71:AP71)</f>
        <v>25342.899296209078</v>
      </c>
      <c r="AR71" s="1"/>
      <c r="AS71" s="1239">
        <f t="shared" ref="AS71:AS73" si="48">AC71*AB71</f>
        <v>67182.225101938253</v>
      </c>
      <c r="AT71" s="1240">
        <f t="shared" ref="AT71:AT73" si="49">AB71*AD71*AH71</f>
        <v>5968.8451819855409</v>
      </c>
      <c r="AU71" s="1240">
        <f t="shared" ref="AU71:AU73" si="50">AI71*AD71*AB71</f>
        <v>1663.7772506159363</v>
      </c>
      <c r="AV71" s="1236">
        <f t="shared" ref="AV71:AV73" si="51">AE71*AB71</f>
        <v>0</v>
      </c>
      <c r="AW71" s="1240">
        <f t="shared" ref="AW71:AW73" si="52">AF71*AB71</f>
        <v>11079.401314580189</v>
      </c>
      <c r="AX71" s="744">
        <f t="shared" ref="AX71:AX73" si="53">SUM(AS71:AW71)</f>
        <v>85894.248849119918</v>
      </c>
      <c r="AY71" s="1"/>
      <c r="AZ71" s="1150">
        <f t="shared" si="22"/>
        <v>111.237148145329</v>
      </c>
      <c r="BA71" s="411">
        <f t="shared" ref="BA71:BA73" si="54">(AX71+AQ71-AS71-AL71)/(AQ71+AX71)</f>
        <v>0.27107274020628741</v>
      </c>
      <c r="BB71" s="1360">
        <f>'Input data'!D115/10^6</f>
        <v>0</v>
      </c>
    </row>
    <row r="72" spans="1:54">
      <c r="A72" s="990">
        <f>'Input data'!A116</f>
        <v>2016</v>
      </c>
      <c r="B72" s="1647">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2">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5">
        <f t="shared" si="45"/>
        <v>0.99999999999999989</v>
      </c>
      <c r="T72" s="648">
        <f t="shared" si="38"/>
        <v>0.50662864209648661</v>
      </c>
      <c r="U72" s="411">
        <f t="shared" si="36"/>
        <v>0.37583661215444586</v>
      </c>
      <c r="V72" s="411">
        <f t="shared" si="37"/>
        <v>0.11753474574906728</v>
      </c>
      <c r="W72" s="411">
        <f t="shared" ref="W72" si="55">W71</f>
        <v>0</v>
      </c>
      <c r="X72" s="1152">
        <f t="shared" si="46"/>
        <v>0.99999999999999978</v>
      </c>
      <c r="Y72" s="648">
        <f>'Input data'!$G$35</f>
        <v>0.66241124199764068</v>
      </c>
      <c r="Z72" s="1152">
        <f>'Input data'!$H$35</f>
        <v>0.33758875800235938</v>
      </c>
      <c r="AA72" s="1356">
        <f>'Input data'!J116</f>
        <v>28.06789123869763</v>
      </c>
      <c r="AB72" s="1236">
        <f>'Input data'!L116</f>
        <v>86529.544755273513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4">
        <f t="shared" ref="AH72:AI73" si="58">AH71</f>
        <v>0.78201761382701329</v>
      </c>
      <c r="AI72" s="1238">
        <f t="shared" si="58"/>
        <v>0.21798238617298668</v>
      </c>
      <c r="AJ72" s="1"/>
      <c r="AK72" s="990">
        <f t="shared" si="39"/>
        <v>2016</v>
      </c>
      <c r="AL72" s="766">
        <f t="shared" si="40"/>
        <v>12499.24800705794</v>
      </c>
      <c r="AM72" s="1236">
        <f t="shared" si="41"/>
        <v>6142.1571730197802</v>
      </c>
      <c r="AN72" s="1236">
        <f t="shared" si="42"/>
        <v>3130.2657322691025</v>
      </c>
      <c r="AO72" s="1236">
        <f t="shared" si="43"/>
        <v>2899.7490755453655</v>
      </c>
      <c r="AP72" s="1236">
        <f t="shared" si="44"/>
        <v>0</v>
      </c>
      <c r="AQ72" s="663">
        <f t="shared" si="47"/>
        <v>24671.419987892186</v>
      </c>
      <c r="AR72" s="1"/>
      <c r="AS72" s="1239">
        <f t="shared" si="48"/>
        <v>67679.122078690707</v>
      </c>
      <c r="AT72" s="1240">
        <f t="shared" si="49"/>
        <v>6012.9922926406553</v>
      </c>
      <c r="AU72" s="1240">
        <f t="shared" si="50"/>
        <v>1676.0829741100024</v>
      </c>
      <c r="AV72" s="1236">
        <f t="shared" si="51"/>
        <v>0</v>
      </c>
      <c r="AW72" s="1240">
        <f t="shared" si="52"/>
        <v>11161.347409832149</v>
      </c>
      <c r="AX72" s="744">
        <f t="shared" si="53"/>
        <v>86529.544755273513</v>
      </c>
      <c r="AY72" s="1"/>
      <c r="AZ72" s="1150">
        <f t="shared" ref="AZ72:AZ73" si="59">(AX72+AQ72)*1000/10^6</f>
        <v>111.2009647431657</v>
      </c>
      <c r="BA72" s="411">
        <f t="shared" si="54"/>
        <v>0.27897774744192294</v>
      </c>
      <c r="BB72" s="1360">
        <f>'Input data'!D116/10^6</f>
        <v>0</v>
      </c>
    </row>
    <row r="73" spans="1:54" s="1" customFormat="1" ht="16.5" thickBot="1">
      <c r="A73" s="1650">
        <f>'Input data'!A117</f>
        <v>2017</v>
      </c>
      <c r="B73" s="1651">
        <f>'Input data'!I117</f>
        <v>424.26313389388866</v>
      </c>
      <c r="C73" s="538">
        <f>B73*'Input data'!B117</f>
        <v>23980.178809937162</v>
      </c>
      <c r="D73" s="1244">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5">
        <f>'Input data'!U117</f>
        <v>1</v>
      </c>
      <c r="L73" s="1244">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4">
        <f>'Input data'!B35</f>
        <v>0.46471844811027063</v>
      </c>
      <c r="U73" s="536">
        <f>'Input data'!C35</f>
        <v>0.41381327103365251</v>
      </c>
      <c r="V73" s="536">
        <f>'Input data'!D35</f>
        <v>0.12146828085607692</v>
      </c>
      <c r="W73" s="536">
        <f>'Input data'!E35</f>
        <v>0</v>
      </c>
      <c r="X73" s="1245">
        <f>SUM(T73:W73)</f>
        <v>1</v>
      </c>
      <c r="Y73" s="1244">
        <f>'Input data'!$G$35</f>
        <v>0.66241124199764068</v>
      </c>
      <c r="Z73" s="1245">
        <f>'Input data'!$H$35</f>
        <v>0.33758875800235938</v>
      </c>
      <c r="AA73" s="1357">
        <f>'Input data'!J117</f>
        <v>12.031045626813224</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6">
        <f t="shared" si="58"/>
        <v>0.78201761382701329</v>
      </c>
      <c r="AI73" s="1247">
        <f t="shared" si="58"/>
        <v>0.21798238617298668</v>
      </c>
      <c r="AJ73" s="413"/>
      <c r="AK73" s="1650">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2">
        <f t="shared" si="59"/>
        <v>111.48215319455257</v>
      </c>
      <c r="BA73" s="536">
        <f t="shared" si="54"/>
        <v>0.28613022309776337</v>
      </c>
      <c r="BB73" s="1653">
        <f>'Input data'!D117/10^6</f>
        <v>49.995050999999997</v>
      </c>
    </row>
    <row r="74" spans="1:54">
      <c r="B74" s="1248"/>
      <c r="F74" s="1249"/>
      <c r="G74" s="1249"/>
      <c r="H74" s="1249"/>
      <c r="I74" s="1249"/>
      <c r="J74" s="419"/>
      <c r="K74" s="419"/>
      <c r="L74" s="623"/>
      <c r="N74" s="1249"/>
      <c r="O74" s="1249"/>
      <c r="P74" s="1249"/>
      <c r="Q74" s="1249"/>
      <c r="R74" s="419"/>
      <c r="S74" s="419"/>
      <c r="T74" s="419"/>
      <c r="U74" s="419"/>
      <c r="V74" s="419"/>
      <c r="W74" s="419"/>
      <c r="X74" s="419"/>
    </row>
    <row r="75" spans="1:54">
      <c r="B75" s="1248"/>
      <c r="F75" s="1249"/>
      <c r="G75" s="1249"/>
      <c r="H75" s="1249"/>
      <c r="I75" s="1249"/>
      <c r="J75" s="419"/>
      <c r="K75" s="419"/>
      <c r="N75" s="1249"/>
      <c r="O75" s="1249"/>
      <c r="P75" s="1249"/>
      <c r="Q75" s="1249"/>
      <c r="R75" s="419"/>
      <c r="S75" s="419"/>
      <c r="T75" s="419"/>
      <c r="U75" s="419"/>
      <c r="V75" s="419"/>
      <c r="W75" s="419"/>
      <c r="X75" s="419"/>
    </row>
    <row r="76" spans="1:54">
      <c r="B76" s="1248"/>
      <c r="F76" s="1249"/>
      <c r="G76" s="1249"/>
      <c r="H76" s="1249"/>
      <c r="I76" s="1249"/>
      <c r="J76" s="419"/>
      <c r="K76" s="419"/>
      <c r="N76" s="1249"/>
      <c r="O76" s="1249"/>
      <c r="P76" s="1249"/>
      <c r="Q76" s="1249"/>
      <c r="R76" s="419"/>
      <c r="S76" s="419"/>
      <c r="T76" s="419"/>
      <c r="U76" s="419"/>
      <c r="V76" s="419"/>
      <c r="W76" s="419"/>
      <c r="X76" s="419"/>
    </row>
    <row r="77" spans="1:54">
      <c r="B77" s="1248"/>
      <c r="F77" s="1249"/>
      <c r="G77" s="1249"/>
      <c r="H77" s="1249"/>
      <c r="I77" s="1249"/>
      <c r="J77" s="419"/>
      <c r="K77" s="419"/>
      <c r="N77" s="1249"/>
      <c r="O77" s="1249"/>
      <c r="P77" s="1249"/>
      <c r="Q77" s="1249"/>
      <c r="R77" s="419"/>
      <c r="S77" s="419"/>
      <c r="T77" s="419"/>
      <c r="U77" s="419"/>
      <c r="V77" s="419"/>
      <c r="W77" s="419"/>
      <c r="X77" s="419"/>
    </row>
    <row r="78" spans="1:54">
      <c r="B78" s="1248"/>
      <c r="F78" s="1249"/>
      <c r="G78" s="1249"/>
      <c r="H78" s="1249"/>
      <c r="I78" s="1249"/>
      <c r="J78" s="419"/>
      <c r="K78" s="419"/>
      <c r="N78" s="1249"/>
      <c r="O78" s="1249"/>
      <c r="P78" s="1249"/>
      <c r="Q78" s="1249"/>
      <c r="R78" s="419"/>
      <c r="S78" s="419"/>
      <c r="T78" s="419"/>
      <c r="U78" s="419"/>
      <c r="V78" s="419"/>
      <c r="W78" s="419"/>
      <c r="X78" s="419"/>
    </row>
    <row r="79" spans="1:54">
      <c r="B79" s="1248"/>
      <c r="F79" s="1249"/>
      <c r="G79" s="1249"/>
      <c r="H79" s="1249"/>
      <c r="I79" s="1249"/>
      <c r="J79" s="419"/>
      <c r="K79" s="419"/>
      <c r="N79" s="1249"/>
      <c r="O79" s="1249"/>
      <c r="P79" s="1249"/>
      <c r="Q79" s="1249"/>
      <c r="R79" s="419"/>
      <c r="S79" s="419"/>
      <c r="T79" s="419"/>
      <c r="U79" s="419"/>
      <c r="V79" s="419"/>
      <c r="W79" s="419"/>
      <c r="X79" s="419"/>
    </row>
    <row r="80" spans="1:54">
      <c r="B80" s="1248"/>
      <c r="F80" s="1249"/>
      <c r="G80" s="1249"/>
      <c r="H80" s="1249"/>
      <c r="I80" s="1249"/>
      <c r="J80" s="419"/>
      <c r="K80" s="419"/>
      <c r="N80" s="1249"/>
      <c r="O80" s="1249"/>
      <c r="P80" s="1249"/>
      <c r="Q80" s="1249"/>
      <c r="R80" s="419"/>
      <c r="S80" s="419"/>
      <c r="T80" s="419"/>
      <c r="U80" s="419"/>
      <c r="V80" s="419"/>
      <c r="W80" s="419"/>
      <c r="X80" s="419"/>
    </row>
    <row r="81" spans="2:35" s="1" customFormat="1">
      <c r="B81" s="1248"/>
      <c r="F81" s="1249"/>
      <c r="G81" s="1249"/>
      <c r="H81" s="1249"/>
      <c r="I81" s="1249"/>
      <c r="J81" s="419"/>
      <c r="K81" s="419"/>
      <c r="N81" s="1249"/>
      <c r="O81" s="1249"/>
      <c r="P81" s="1249"/>
      <c r="Q81" s="1249"/>
      <c r="R81" s="419"/>
      <c r="S81" s="419"/>
      <c r="T81" s="419"/>
      <c r="U81" s="419"/>
      <c r="V81" s="419"/>
      <c r="W81" s="419"/>
      <c r="X81" s="419"/>
      <c r="AH81" s="1237"/>
      <c r="AI81" s="1237"/>
    </row>
    <row r="82" spans="2:35">
      <c r="B82" s="1248"/>
      <c r="F82" s="1249"/>
      <c r="G82" s="1249"/>
      <c r="H82" s="1249"/>
      <c r="I82" s="1249"/>
      <c r="J82" s="419"/>
      <c r="K82" s="419"/>
      <c r="N82" s="1249"/>
      <c r="O82" s="1249"/>
      <c r="P82" s="1249"/>
      <c r="Q82" s="1249"/>
      <c r="R82" s="419"/>
      <c r="S82" s="419"/>
      <c r="T82" s="419"/>
      <c r="U82" s="419"/>
      <c r="V82" s="419"/>
      <c r="W82" s="419"/>
      <c r="X82" s="419"/>
    </row>
    <row r="83" spans="2:35">
      <c r="B83" s="1248"/>
      <c r="F83" s="1249"/>
      <c r="G83" s="1249"/>
      <c r="H83" s="1249"/>
      <c r="I83" s="1249"/>
      <c r="J83" s="419"/>
      <c r="K83" s="419"/>
      <c r="N83" s="1249"/>
      <c r="O83" s="1249"/>
      <c r="P83" s="1249"/>
      <c r="Q83" s="1249"/>
      <c r="R83" s="419"/>
      <c r="S83" s="419"/>
      <c r="T83" s="419"/>
      <c r="U83" s="419"/>
      <c r="V83" s="419"/>
      <c r="W83" s="419"/>
      <c r="X83" s="419"/>
    </row>
    <row r="84" spans="2:35">
      <c r="B84" s="1248"/>
      <c r="F84" s="1249"/>
      <c r="G84" s="1249"/>
      <c r="H84" s="1249"/>
      <c r="I84" s="1249"/>
      <c r="J84" s="419"/>
      <c r="K84" s="419"/>
      <c r="N84" s="1249"/>
      <c r="O84" s="1249"/>
      <c r="P84" s="1249"/>
      <c r="Q84" s="1249"/>
      <c r="R84" s="419"/>
      <c r="S84" s="419"/>
      <c r="T84" s="419"/>
      <c r="U84" s="419"/>
      <c r="V84" s="419"/>
      <c r="W84" s="419"/>
      <c r="X84" s="419"/>
    </row>
    <row r="85" spans="2:35">
      <c r="B85" s="1248"/>
      <c r="F85" s="1249"/>
      <c r="G85" s="1249"/>
      <c r="H85" s="1249"/>
      <c r="I85" s="1249"/>
      <c r="J85" s="419"/>
      <c r="K85" s="419"/>
      <c r="N85" s="1249"/>
      <c r="O85" s="1249"/>
      <c r="P85" s="1249"/>
      <c r="Q85" s="1249"/>
      <c r="R85" s="419"/>
      <c r="S85" s="419"/>
      <c r="T85" s="419"/>
      <c r="U85" s="419"/>
      <c r="V85" s="419"/>
      <c r="W85" s="419"/>
      <c r="X85" s="419"/>
    </row>
    <row r="86" spans="2:35">
      <c r="B86" s="1248"/>
      <c r="F86" s="1249"/>
      <c r="G86" s="1249"/>
      <c r="H86" s="1249"/>
      <c r="I86" s="1249"/>
      <c r="J86" s="419"/>
      <c r="K86" s="419"/>
      <c r="N86" s="1249"/>
      <c r="O86" s="1249"/>
      <c r="P86" s="1249"/>
      <c r="Q86" s="1249"/>
      <c r="R86" s="419"/>
      <c r="S86" s="419"/>
      <c r="T86" s="419"/>
      <c r="U86" s="419"/>
      <c r="V86" s="419"/>
      <c r="W86" s="419"/>
      <c r="X86" s="419"/>
    </row>
    <row r="87" spans="2:35">
      <c r="B87" s="1248"/>
      <c r="F87" s="1249"/>
      <c r="G87" s="1249"/>
      <c r="H87" s="1249"/>
      <c r="I87" s="1249"/>
      <c r="J87" s="419"/>
      <c r="K87" s="419"/>
      <c r="N87" s="1249"/>
      <c r="O87" s="1249"/>
      <c r="P87" s="1249"/>
      <c r="Q87" s="1249"/>
      <c r="R87" s="419"/>
      <c r="S87" s="419"/>
      <c r="T87" s="419"/>
      <c r="U87" s="419"/>
      <c r="V87" s="419"/>
      <c r="W87" s="419"/>
      <c r="X87" s="419"/>
    </row>
    <row r="88" spans="2:35">
      <c r="B88" s="1248"/>
      <c r="F88" s="1249"/>
      <c r="G88" s="1249"/>
      <c r="H88" s="1249"/>
      <c r="I88" s="1249"/>
      <c r="J88" s="419"/>
      <c r="K88" s="419"/>
      <c r="N88" s="1249"/>
      <c r="O88" s="1249"/>
      <c r="P88" s="1249"/>
      <c r="Q88" s="1249"/>
      <c r="R88" s="419"/>
      <c r="S88" s="419"/>
      <c r="T88" s="419"/>
      <c r="U88" s="419"/>
      <c r="V88" s="419"/>
      <c r="W88" s="419"/>
      <c r="X88" s="419"/>
    </row>
    <row r="89" spans="2:35">
      <c r="B89" s="1248"/>
      <c r="F89" s="1249"/>
      <c r="G89" s="1249"/>
      <c r="H89" s="1249"/>
      <c r="I89" s="1249"/>
      <c r="J89" s="419"/>
      <c r="K89" s="419"/>
      <c r="N89" s="1249"/>
      <c r="O89" s="1249"/>
      <c r="P89" s="1249"/>
      <c r="Q89" s="1249"/>
      <c r="R89" s="419"/>
      <c r="S89" s="419"/>
      <c r="T89" s="419"/>
      <c r="U89" s="419"/>
      <c r="V89" s="419"/>
      <c r="W89" s="419"/>
      <c r="X89" s="419"/>
    </row>
    <row r="90" spans="2:35">
      <c r="B90" s="1248"/>
      <c r="F90" s="1249"/>
      <c r="G90" s="1249"/>
      <c r="H90" s="1249"/>
      <c r="I90" s="1249"/>
      <c r="J90" s="419"/>
      <c r="K90" s="419"/>
      <c r="N90" s="1249"/>
      <c r="O90" s="1249"/>
      <c r="P90" s="1249"/>
      <c r="Q90" s="1249"/>
      <c r="R90" s="419"/>
      <c r="S90" s="419"/>
      <c r="T90" s="419"/>
      <c r="U90" s="419"/>
      <c r="V90" s="419"/>
      <c r="W90" s="419"/>
      <c r="X90" s="419"/>
    </row>
    <row r="91" spans="2:35">
      <c r="B91" s="1248"/>
      <c r="F91" s="1249"/>
      <c r="G91" s="1249"/>
      <c r="H91" s="1249"/>
      <c r="I91" s="1249"/>
      <c r="J91" s="419"/>
      <c r="K91" s="419"/>
      <c r="N91" s="1249"/>
      <c r="O91" s="1249"/>
      <c r="P91" s="1249"/>
      <c r="Q91" s="1249"/>
      <c r="R91" s="419"/>
      <c r="S91" s="419"/>
      <c r="T91" s="419"/>
      <c r="U91" s="419"/>
      <c r="V91" s="419"/>
      <c r="W91" s="419"/>
      <c r="X91" s="419"/>
    </row>
    <row r="92" spans="2:35">
      <c r="B92" s="1248"/>
      <c r="F92" s="1249"/>
      <c r="G92" s="1249"/>
      <c r="H92" s="1249"/>
      <c r="I92" s="1249"/>
      <c r="J92" s="419"/>
      <c r="K92" s="419"/>
      <c r="N92" s="1249"/>
      <c r="O92" s="1249"/>
      <c r="P92" s="1249"/>
      <c r="Q92" s="1249"/>
      <c r="R92" s="419"/>
      <c r="S92" s="419"/>
      <c r="T92" s="419"/>
      <c r="U92" s="419"/>
      <c r="V92" s="419"/>
      <c r="W92" s="419"/>
      <c r="X92" s="419"/>
    </row>
    <row r="93" spans="2:35">
      <c r="B93" s="1248"/>
      <c r="F93" s="1249"/>
      <c r="G93" s="1249"/>
      <c r="H93" s="1249"/>
      <c r="I93" s="1249"/>
      <c r="J93" s="419"/>
      <c r="K93" s="419"/>
      <c r="N93" s="1249"/>
      <c r="O93" s="1249"/>
      <c r="P93" s="1249"/>
      <c r="Q93" s="1249"/>
      <c r="R93" s="419"/>
      <c r="S93" s="419"/>
      <c r="T93" s="419"/>
      <c r="U93" s="419"/>
      <c r="V93" s="419"/>
      <c r="W93" s="419"/>
      <c r="X93" s="419"/>
    </row>
    <row r="94" spans="2:35">
      <c r="B94" s="1248"/>
      <c r="F94" s="1249"/>
      <c r="G94" s="1249"/>
      <c r="H94" s="1249"/>
      <c r="I94" s="1249"/>
      <c r="J94" s="419"/>
      <c r="K94" s="419"/>
      <c r="N94" s="1249"/>
      <c r="O94" s="1249"/>
      <c r="P94" s="1249"/>
      <c r="Q94" s="1249"/>
      <c r="R94" s="419"/>
      <c r="S94" s="419"/>
      <c r="T94" s="419"/>
      <c r="U94" s="419"/>
      <c r="V94" s="419"/>
      <c r="W94" s="419"/>
      <c r="X94" s="419"/>
    </row>
    <row r="95" spans="2:35">
      <c r="B95" s="1248"/>
      <c r="F95" s="1249"/>
      <c r="G95" s="1249"/>
      <c r="H95" s="1249"/>
      <c r="I95" s="1249"/>
      <c r="J95" s="419"/>
      <c r="K95" s="419"/>
      <c r="N95" s="1249"/>
      <c r="O95" s="1249"/>
      <c r="P95" s="1249"/>
      <c r="Q95" s="1249"/>
      <c r="R95" s="419"/>
      <c r="S95" s="419"/>
      <c r="T95" s="419"/>
      <c r="U95" s="419"/>
      <c r="V95" s="419"/>
      <c r="W95" s="419"/>
      <c r="X95" s="419"/>
    </row>
    <row r="96" spans="2:35">
      <c r="B96" s="1248"/>
      <c r="F96" s="1249"/>
      <c r="G96" s="1249"/>
      <c r="H96" s="1249"/>
      <c r="I96" s="1249"/>
      <c r="J96" s="419"/>
      <c r="K96" s="419"/>
      <c r="N96" s="1249"/>
      <c r="O96" s="1249"/>
      <c r="P96" s="1249"/>
      <c r="Q96" s="1249"/>
      <c r="R96" s="419"/>
      <c r="S96" s="419"/>
      <c r="T96" s="419"/>
      <c r="U96" s="419"/>
      <c r="V96" s="419"/>
      <c r="W96" s="419"/>
      <c r="X96" s="419"/>
    </row>
    <row r="97" spans="2:24">
      <c r="B97" s="1248"/>
      <c r="F97" s="1249"/>
      <c r="G97" s="1249"/>
      <c r="H97" s="1249"/>
      <c r="I97" s="1249"/>
      <c r="J97" s="419"/>
      <c r="K97" s="419"/>
      <c r="N97" s="1249"/>
      <c r="O97" s="1249"/>
      <c r="P97" s="1249"/>
      <c r="Q97" s="1249"/>
      <c r="R97" s="419"/>
      <c r="S97" s="419"/>
      <c r="T97" s="419"/>
      <c r="U97" s="419"/>
      <c r="V97" s="419"/>
      <c r="W97" s="419"/>
      <c r="X97" s="419"/>
    </row>
    <row r="98" spans="2:24">
      <c r="B98" s="1248"/>
      <c r="F98" s="1249"/>
      <c r="G98" s="1249"/>
      <c r="H98" s="1249"/>
      <c r="I98" s="1249"/>
      <c r="J98" s="419"/>
      <c r="K98" s="419"/>
      <c r="N98" s="1249"/>
      <c r="O98" s="1249"/>
      <c r="P98" s="1249"/>
      <c r="Q98" s="1249"/>
      <c r="R98" s="419"/>
      <c r="S98" s="419"/>
      <c r="T98" s="419"/>
      <c r="U98" s="419"/>
      <c r="V98" s="419"/>
      <c r="W98" s="419"/>
      <c r="X98" s="419"/>
    </row>
    <row r="99" spans="2:24">
      <c r="B99" s="1248"/>
      <c r="F99" s="1249"/>
      <c r="G99" s="1249"/>
      <c r="H99" s="1249"/>
      <c r="I99" s="1249"/>
      <c r="J99" s="419"/>
      <c r="K99" s="419"/>
      <c r="N99" s="1249"/>
      <c r="O99" s="1249"/>
      <c r="P99" s="1249"/>
      <c r="Q99" s="1249"/>
      <c r="R99" s="419"/>
      <c r="S99" s="419"/>
      <c r="T99" s="419"/>
      <c r="U99" s="419"/>
      <c r="V99" s="419"/>
      <c r="W99" s="419"/>
      <c r="X99" s="419"/>
    </row>
    <row r="100" spans="2:24">
      <c r="B100" s="1248"/>
      <c r="F100" s="1249"/>
      <c r="G100" s="1249"/>
      <c r="H100" s="1249"/>
      <c r="I100" s="1249"/>
      <c r="J100" s="419"/>
      <c r="K100" s="419"/>
      <c r="N100" s="1249"/>
      <c r="O100" s="1249"/>
      <c r="P100" s="1249"/>
      <c r="Q100" s="1249"/>
      <c r="R100" s="419"/>
      <c r="S100" s="419"/>
      <c r="T100" s="419"/>
      <c r="U100" s="419"/>
      <c r="V100" s="419"/>
      <c r="W100" s="419"/>
      <c r="X100" s="419"/>
    </row>
    <row r="101" spans="2:24">
      <c r="B101" s="1248"/>
      <c r="F101" s="1249"/>
      <c r="G101" s="1249"/>
      <c r="H101" s="1249"/>
      <c r="I101" s="1249"/>
      <c r="J101" s="419"/>
      <c r="K101" s="419"/>
      <c r="N101" s="1249"/>
      <c r="O101" s="1249"/>
      <c r="P101" s="1249"/>
      <c r="Q101" s="1249"/>
      <c r="R101" s="419"/>
      <c r="S101" s="419"/>
      <c r="T101" s="419"/>
      <c r="U101" s="419"/>
      <c r="V101" s="419"/>
      <c r="W101" s="419"/>
      <c r="X101" s="419"/>
    </row>
    <row r="102" spans="2:24">
      <c r="B102" s="1248"/>
      <c r="F102" s="1249"/>
      <c r="G102" s="1249"/>
      <c r="H102" s="1249"/>
      <c r="I102" s="1249"/>
      <c r="J102" s="419"/>
      <c r="K102" s="419"/>
      <c r="N102" s="1249"/>
      <c r="O102" s="1249"/>
      <c r="P102" s="1249"/>
      <c r="Q102" s="1249"/>
      <c r="R102" s="419"/>
      <c r="S102" s="419"/>
      <c r="T102" s="419"/>
      <c r="U102" s="419"/>
      <c r="V102" s="419"/>
      <c r="W102" s="419"/>
      <c r="X102" s="419"/>
    </row>
    <row r="103" spans="2:24">
      <c r="B103" s="1248"/>
      <c r="F103" s="1249"/>
      <c r="G103" s="1249"/>
      <c r="H103" s="1249"/>
      <c r="I103" s="1249"/>
      <c r="J103" s="419"/>
      <c r="K103" s="419"/>
      <c r="N103" s="1249"/>
      <c r="O103" s="1249"/>
      <c r="P103" s="1249"/>
      <c r="Q103" s="1249"/>
      <c r="R103" s="419"/>
      <c r="S103" s="419"/>
      <c r="T103" s="419"/>
      <c r="U103" s="419"/>
      <c r="V103" s="419"/>
      <c r="W103" s="419"/>
      <c r="X103" s="419"/>
    </row>
    <row r="104" spans="2:24">
      <c r="B104" s="1248"/>
      <c r="F104" s="1249"/>
      <c r="G104" s="1249"/>
      <c r="H104" s="1249"/>
      <c r="I104" s="1249"/>
      <c r="J104" s="419"/>
      <c r="K104" s="419"/>
      <c r="N104" s="1249"/>
      <c r="O104" s="1249"/>
      <c r="P104" s="1249"/>
      <c r="Q104" s="1249"/>
      <c r="R104" s="419"/>
      <c r="S104" s="419"/>
      <c r="T104" s="419"/>
      <c r="U104" s="419"/>
      <c r="V104" s="419"/>
      <c r="W104" s="419"/>
      <c r="X104" s="419"/>
    </row>
    <row r="105" spans="2:24">
      <c r="B105" s="1248"/>
      <c r="F105" s="1249"/>
      <c r="G105" s="1249"/>
      <c r="H105" s="1249"/>
      <c r="I105" s="1249"/>
      <c r="J105" s="419"/>
      <c r="K105" s="419"/>
      <c r="N105" s="1249"/>
      <c r="O105" s="1249"/>
      <c r="P105" s="1249"/>
      <c r="Q105" s="1249"/>
      <c r="R105" s="419"/>
      <c r="S105" s="419"/>
      <c r="T105" s="419"/>
      <c r="U105" s="419"/>
      <c r="V105" s="419"/>
      <c r="W105" s="419"/>
      <c r="X105" s="419"/>
    </row>
    <row r="106" spans="2:24">
      <c r="B106" s="1248"/>
      <c r="F106" s="1249"/>
      <c r="G106" s="1249"/>
      <c r="H106" s="1249"/>
      <c r="I106" s="1249"/>
      <c r="J106" s="419"/>
      <c r="K106" s="419"/>
      <c r="N106" s="1249"/>
      <c r="O106" s="1249"/>
      <c r="P106" s="1249"/>
      <c r="Q106" s="1249"/>
      <c r="R106" s="419"/>
      <c r="S106" s="419"/>
      <c r="T106" s="419"/>
      <c r="U106" s="419"/>
      <c r="V106" s="419"/>
      <c r="W106" s="419"/>
      <c r="X106" s="419"/>
    </row>
    <row r="107" spans="2:24">
      <c r="E107" s="1226"/>
      <c r="J107" s="419"/>
      <c r="K107" s="419"/>
      <c r="M107" s="1226"/>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900" t="s">
        <v>556</v>
      </c>
      <c r="B4" s="1896" t="s">
        <v>557</v>
      </c>
      <c r="C4" s="579">
        <v>0.5</v>
      </c>
      <c r="D4" s="116">
        <v>2030</v>
      </c>
      <c r="E4" s="579">
        <f>C4</f>
        <v>0.5</v>
      </c>
      <c r="F4" s="116">
        <f>2017+5</f>
        <v>2022</v>
      </c>
      <c r="G4" s="579">
        <f>E4</f>
        <v>0.5</v>
      </c>
      <c r="H4" s="116">
        <f>F4</f>
        <v>2022</v>
      </c>
      <c r="J4" s="99"/>
      <c r="K4" s="99"/>
    </row>
    <row r="5" spans="1:11">
      <c r="A5" s="1850"/>
      <c r="B5" s="1876"/>
      <c r="C5" s="575">
        <v>0.65</v>
      </c>
      <c r="D5" s="130">
        <v>2040</v>
      </c>
      <c r="E5" s="575">
        <f t="shared" ref="E5:E6" si="0">C5</f>
        <v>0.65</v>
      </c>
      <c r="F5" s="130">
        <f>2017+10</f>
        <v>2027</v>
      </c>
      <c r="G5" s="575">
        <f t="shared" ref="G5:G6" si="1">E5</f>
        <v>0.65</v>
      </c>
      <c r="H5" s="130">
        <f t="shared" ref="H5:H6" si="2">F5</f>
        <v>2027</v>
      </c>
      <c r="J5" s="99"/>
      <c r="K5" s="99"/>
    </row>
    <row r="6" spans="1:11" ht="15.75" thickBot="1">
      <c r="A6" s="1851"/>
      <c r="B6" s="1877"/>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78" t="s">
        <v>574</v>
      </c>
      <c r="B8" s="1702" t="s">
        <v>485</v>
      </c>
      <c r="C8" s="1703"/>
      <c r="D8" s="1703"/>
      <c r="E8" s="1703"/>
      <c r="F8" s="1704"/>
      <c r="G8" s="1702" t="s">
        <v>532</v>
      </c>
      <c r="H8" s="1703"/>
      <c r="I8" s="1704"/>
      <c r="J8" s="327"/>
      <c r="K8" s="99"/>
    </row>
    <row r="9" spans="1:11" ht="32.25" thickBot="1">
      <c r="A9" s="1879"/>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50" t="s">
        <v>560</v>
      </c>
      <c r="B26" s="1876" t="s">
        <v>557</v>
      </c>
      <c r="C26" s="575">
        <v>0.25</v>
      </c>
      <c r="D26" s="104">
        <f>2017+5</f>
        <v>2022</v>
      </c>
      <c r="E26" s="1905">
        <v>0.5</v>
      </c>
      <c r="F26" s="1907">
        <f>2017+5</f>
        <v>2022</v>
      </c>
      <c r="G26" s="1874">
        <f>E26</f>
        <v>0.5</v>
      </c>
      <c r="H26" s="1907">
        <f>F26</f>
        <v>2022</v>
      </c>
    </row>
    <row r="27" spans="1:11" ht="15.75" thickBot="1">
      <c r="A27" s="1851"/>
      <c r="B27" s="1877"/>
      <c r="C27" s="577">
        <v>0.5</v>
      </c>
      <c r="D27" s="163">
        <f>2017+10</f>
        <v>2027</v>
      </c>
      <c r="E27" s="1906"/>
      <c r="F27" s="1908"/>
      <c r="G27" s="1875"/>
      <c r="H27" s="1908"/>
    </row>
    <row r="28" spans="1:11" ht="15.75" thickBot="1">
      <c r="A28" s="591"/>
      <c r="B28" s="591"/>
      <c r="C28" s="576"/>
      <c r="D28" s="104"/>
      <c r="E28" s="576"/>
      <c r="F28" s="104"/>
      <c r="G28" s="576"/>
      <c r="H28" s="104"/>
    </row>
    <row r="29" spans="1:11">
      <c r="A29" s="594"/>
      <c r="B29" s="600"/>
      <c r="C29" s="1902" t="s">
        <v>551</v>
      </c>
      <c r="D29" s="1903"/>
      <c r="E29" s="1902" t="s">
        <v>552</v>
      </c>
      <c r="F29" s="1903"/>
      <c r="G29" s="1904" t="s">
        <v>553</v>
      </c>
      <c r="H29" s="1903"/>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5" t="s">
        <v>551</v>
      </c>
      <c r="B36" s="990">
        <v>2030</v>
      </c>
      <c r="C36" s="608">
        <f>C35</f>
        <v>0</v>
      </c>
      <c r="D36" s="604">
        <f>D35</f>
        <v>0</v>
      </c>
      <c r="E36" s="604">
        <f>1-F36-G36</f>
        <v>0.7</v>
      </c>
      <c r="F36" s="604">
        <f>F35/2</f>
        <v>0.15</v>
      </c>
      <c r="G36" s="605">
        <f>G35/2</f>
        <v>0.15</v>
      </c>
      <c r="H36" t="s">
        <v>565</v>
      </c>
    </row>
    <row r="37" spans="1:24">
      <c r="A37" s="1855"/>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1" t="s">
        <v>6</v>
      </c>
      <c r="D42" s="1868"/>
      <c r="E42" s="1868"/>
      <c r="F42" s="1868"/>
      <c r="G42" s="1868"/>
      <c r="H42" s="1868"/>
      <c r="I42" s="1869"/>
      <c r="J42" s="1867" t="s">
        <v>298</v>
      </c>
      <c r="K42" s="1868"/>
      <c r="L42" s="1868"/>
      <c r="M42" s="1868"/>
      <c r="N42" s="1868"/>
      <c r="O42" s="1868"/>
      <c r="P42" s="1869"/>
      <c r="Q42" s="1852" t="s">
        <v>299</v>
      </c>
      <c r="R42" s="1852"/>
      <c r="S42" s="1852"/>
      <c r="T42" s="1852"/>
      <c r="U42" s="1852"/>
      <c r="V42" s="1852"/>
      <c r="W42" s="1853"/>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3"/>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4"/>
      <c r="E57" s="1304"/>
      <c r="F57" s="1304"/>
      <c r="G57" s="1304"/>
      <c r="H57" s="1304"/>
      <c r="I57" s="1304"/>
      <c r="J57" s="3"/>
      <c r="K57" s="3"/>
      <c r="L57" s="3"/>
      <c r="M57" s="3"/>
      <c r="N57" s="3"/>
    </row>
    <row r="58" spans="1:45" ht="16.5" thickBot="1">
      <c r="A58" s="1305" t="s">
        <v>749</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row>
    <row r="59" spans="1:45" ht="15.75">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AE59" s="1333"/>
      <c r="AF59" s="1333"/>
      <c r="AG59" s="198"/>
      <c r="AH59" s="198"/>
      <c r="AI59" s="198"/>
      <c r="AJ59" s="99"/>
      <c r="AK59" s="99"/>
      <c r="AL59" s="99"/>
      <c r="AM59" s="1334"/>
      <c r="AN59" s="99"/>
      <c r="AO59" s="1335"/>
      <c r="AP59" s="1335"/>
      <c r="AQ59" s="1335"/>
      <c r="AR59" s="99"/>
      <c r="AS59" s="99"/>
    </row>
    <row r="60" spans="1:45">
      <c r="A60" s="1311" t="s">
        <v>334</v>
      </c>
      <c r="B60" s="1308" t="s">
        <v>335</v>
      </c>
      <c r="C60" s="1312">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4">
        <f>'Input data'!N14</f>
        <v>4821430</v>
      </c>
      <c r="AE60" s="1336"/>
      <c r="AF60" s="1337"/>
      <c r="AG60" s="1337"/>
      <c r="AH60" s="1337"/>
      <c r="AI60" s="1337"/>
      <c r="AJ60" s="1337"/>
      <c r="AK60" s="1337"/>
      <c r="AL60" s="1337"/>
      <c r="AM60" s="1338"/>
      <c r="AN60" s="158"/>
      <c r="AO60" s="158"/>
      <c r="AP60" s="158"/>
      <c r="AQ60" s="158"/>
      <c r="AR60" s="158"/>
      <c r="AS60" s="99"/>
    </row>
    <row r="61" spans="1:45">
      <c r="A61" s="1311" t="s">
        <v>336</v>
      </c>
      <c r="B61" s="1308" t="s">
        <v>337</v>
      </c>
      <c r="C61" s="1312">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4">
        <f>'Input data'!N15</f>
        <v>360884</v>
      </c>
      <c r="AE61" s="1336"/>
      <c r="AF61" s="1337"/>
      <c r="AG61" s="1337"/>
      <c r="AH61" s="1339"/>
      <c r="AI61" s="1339"/>
      <c r="AJ61" s="1339"/>
      <c r="AK61" s="1339"/>
      <c r="AL61" s="1339"/>
      <c r="AM61" s="1339"/>
      <c r="AN61" s="158"/>
      <c r="AO61" s="158"/>
      <c r="AP61" s="158"/>
      <c r="AQ61" s="158"/>
      <c r="AR61" s="158"/>
      <c r="AS61" s="99"/>
    </row>
    <row r="62" spans="1:45" ht="15.75">
      <c r="A62" s="1311" t="s">
        <v>338</v>
      </c>
      <c r="B62" s="1308" t="s">
        <v>339</v>
      </c>
      <c r="C62" s="1312">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4">
        <f>'Input data'!N16</f>
        <v>1756686.4765390735</v>
      </c>
      <c r="AE62" s="1340"/>
      <c r="AF62" s="1340"/>
      <c r="AG62" s="1341"/>
      <c r="AH62" s="1341"/>
      <c r="AI62" s="1341"/>
      <c r="AJ62" s="1341"/>
      <c r="AK62" s="1341"/>
      <c r="AL62" s="1341"/>
      <c r="AM62" s="1341"/>
      <c r="AN62" s="1341"/>
      <c r="AO62" s="1341"/>
      <c r="AP62" s="1341"/>
      <c r="AQ62" s="1341"/>
      <c r="AR62" s="1341"/>
      <c r="AS62" s="99"/>
    </row>
    <row r="63" spans="1:45">
      <c r="A63" s="1311" t="s">
        <v>338</v>
      </c>
      <c r="B63" s="1308" t="s">
        <v>340</v>
      </c>
      <c r="C63" s="1312">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4">
        <f>'Input data'!N17</f>
        <v>6573316.2259999998</v>
      </c>
      <c r="AE63" s="340"/>
      <c r="AF63" s="340"/>
      <c r="AG63" s="1337"/>
      <c r="AH63" s="1337"/>
      <c r="AI63" s="1337"/>
      <c r="AJ63" s="1337"/>
      <c r="AK63" s="1337"/>
      <c r="AL63" s="1337"/>
      <c r="AM63" s="1337"/>
      <c r="AN63" s="1337"/>
      <c r="AO63" s="1337"/>
      <c r="AP63" s="1337"/>
      <c r="AQ63" s="1337"/>
      <c r="AR63" s="1337"/>
      <c r="AS63" s="99"/>
    </row>
    <row r="64" spans="1:45">
      <c r="A64" s="1311" t="s">
        <v>341</v>
      </c>
      <c r="B64" s="1308" t="s">
        <v>342</v>
      </c>
      <c r="C64" s="1312">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4">
        <f>'Input data'!N18</f>
        <v>6700000</v>
      </c>
      <c r="AE64" s="292"/>
      <c r="AF64" s="340"/>
      <c r="AG64" s="1337"/>
      <c r="AH64" s="1337"/>
      <c r="AI64" s="1337"/>
      <c r="AJ64" s="1337"/>
      <c r="AK64" s="1337"/>
      <c r="AL64" s="1337"/>
      <c r="AM64" s="1337"/>
      <c r="AN64" s="1337"/>
      <c r="AO64" s="1337"/>
      <c r="AP64" s="1337"/>
      <c r="AQ64" s="1337"/>
      <c r="AR64" s="1337"/>
      <c r="AS64" s="99"/>
    </row>
    <row r="65" spans="1:71">
      <c r="A65" s="1313"/>
      <c r="B65" s="1314" t="s">
        <v>343</v>
      </c>
      <c r="C65" s="1312">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4">
        <f>'Input data'!N19</f>
        <v>23980178.792267412</v>
      </c>
      <c r="AE65" s="292"/>
      <c r="AF65" s="340"/>
      <c r="AG65" s="1337"/>
      <c r="AH65" s="1337"/>
      <c r="AI65" s="1337"/>
      <c r="AJ65" s="1337"/>
      <c r="AK65" s="1337"/>
      <c r="AL65" s="1337"/>
      <c r="AM65" s="1337"/>
      <c r="AN65" s="1337"/>
      <c r="AO65" s="1337"/>
      <c r="AP65" s="1337"/>
      <c r="AQ65" s="1337"/>
      <c r="AR65" s="1337"/>
      <c r="AS65" s="99"/>
    </row>
    <row r="66" spans="1:71" ht="15.75">
      <c r="A66" s="1313"/>
      <c r="B66" s="1315" t="s">
        <v>496</v>
      </c>
      <c r="C66" s="1312">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4">
        <f>'Input data'!N20</f>
        <v>11144031.473749338</v>
      </c>
      <c r="AE66" s="292"/>
      <c r="AF66" s="340"/>
      <c r="AG66" s="1337"/>
      <c r="AH66" s="1337"/>
      <c r="AI66" s="1337"/>
      <c r="AJ66" s="1337"/>
      <c r="AK66" s="1337"/>
      <c r="AL66" s="1337"/>
      <c r="AM66" s="1337"/>
      <c r="AN66" s="1337"/>
      <c r="AO66" s="1337"/>
      <c r="AP66" s="1337"/>
      <c r="AQ66" s="1337"/>
      <c r="AR66" s="1337"/>
      <c r="AS66" s="99"/>
    </row>
    <row r="67" spans="1:71" ht="16.5" thickBot="1">
      <c r="A67" s="1313"/>
      <c r="B67" s="1315" t="s">
        <v>744</v>
      </c>
      <c r="C67" s="1312">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4">
        <f>'Input data'!N21</f>
        <v>2912831.0925180763</v>
      </c>
      <c r="AE67" s="292"/>
      <c r="AF67" s="340"/>
      <c r="AG67" s="1337"/>
      <c r="AH67" s="1337"/>
      <c r="AI67" s="1337"/>
      <c r="AJ67" s="1337"/>
      <c r="AK67" s="1337"/>
      <c r="AL67" s="1337"/>
      <c r="AM67" s="1337"/>
      <c r="AN67" s="1337"/>
      <c r="AO67" s="1337"/>
      <c r="AP67" s="1337"/>
      <c r="AQ67" s="1337"/>
      <c r="AR67" s="1337"/>
      <c r="AS67" s="99"/>
    </row>
    <row r="68" spans="1:71"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AE68" s="292"/>
      <c r="AF68" s="340"/>
      <c r="AG68" s="1337"/>
      <c r="AH68" s="1337"/>
      <c r="AI68" s="1337"/>
      <c r="AJ68" s="1337"/>
      <c r="AK68" s="1337"/>
      <c r="AL68" s="1337"/>
      <c r="AM68" s="1337"/>
      <c r="AN68" s="1337"/>
      <c r="AO68" s="1337"/>
      <c r="AP68" s="1337"/>
      <c r="AQ68" s="1337"/>
      <c r="AR68" s="1337"/>
      <c r="AS68" s="99"/>
    </row>
    <row r="69" spans="1:71" ht="15.75">
      <c r="A69" s="1313"/>
      <c r="B69" s="1317"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2"/>
      <c r="AG69" s="1337"/>
      <c r="AH69" s="1337"/>
      <c r="AI69" s="1337"/>
      <c r="AJ69" s="1337"/>
      <c r="AK69" s="1337"/>
      <c r="AL69" s="1337"/>
      <c r="AM69" s="1337"/>
      <c r="AN69" s="1337"/>
      <c r="AO69" s="1337"/>
      <c r="AP69" s="1337"/>
      <c r="AQ69" s="1337"/>
      <c r="AR69" s="1337"/>
      <c r="AS69" s="99"/>
    </row>
    <row r="70" spans="1:71" ht="15.75">
      <c r="A70" s="1311" t="s">
        <v>334</v>
      </c>
      <c r="B70" s="1317"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3"/>
      <c r="AG70" s="1337"/>
      <c r="AH70" s="1337"/>
      <c r="AI70" s="1337"/>
      <c r="AJ70" s="1337"/>
      <c r="AK70" s="1337"/>
      <c r="AL70" s="1337"/>
      <c r="AM70" s="1337"/>
      <c r="AN70" s="1337"/>
      <c r="AO70" s="1337"/>
      <c r="AP70" s="1337"/>
      <c r="AQ70" s="1337"/>
      <c r="AR70" s="1337"/>
      <c r="AS70" s="99"/>
    </row>
    <row r="71" spans="1:71" ht="15.75">
      <c r="A71" s="1311" t="s">
        <v>336</v>
      </c>
      <c r="B71" s="1317"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3"/>
      <c r="AG71" s="1337"/>
      <c r="AH71" s="1337"/>
      <c r="AI71" s="1337"/>
      <c r="AJ71" s="1337"/>
      <c r="AK71" s="1337"/>
      <c r="AL71" s="1337"/>
      <c r="AM71" s="1337"/>
      <c r="AN71" s="1337"/>
      <c r="AO71" s="1337"/>
      <c r="AP71" s="1337"/>
      <c r="AQ71" s="1337"/>
      <c r="AR71" s="1337"/>
      <c r="AS71" s="99"/>
    </row>
    <row r="72" spans="1:71" ht="15.75">
      <c r="A72" s="1311" t="s">
        <v>338</v>
      </c>
      <c r="B72" s="1317"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0"/>
      <c r="AG72" s="1344"/>
      <c r="AH72" s="1344"/>
      <c r="AI72" s="1344"/>
      <c r="AJ72" s="1344"/>
      <c r="AK72" s="1344"/>
      <c r="AL72" s="1344"/>
      <c r="AM72" s="1344"/>
      <c r="AN72" s="1344"/>
      <c r="AO72" s="1344"/>
      <c r="AP72" s="1344"/>
      <c r="AQ72" s="1344"/>
      <c r="AR72" s="1345"/>
      <c r="AS72" s="99"/>
    </row>
    <row r="73" spans="1:71" ht="15.75">
      <c r="A73" s="1311" t="s">
        <v>338</v>
      </c>
      <c r="B73" s="1317"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1" t="s">
        <v>341</v>
      </c>
      <c r="B74" s="1317"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3"/>
      <c r="B75" s="1315"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54"/>
      <c r="BK75" s="1854"/>
      <c r="BL75" s="1854"/>
      <c r="BM75" s="1854"/>
      <c r="BN75" s="1854"/>
      <c r="BO75" s="1854"/>
      <c r="BP75" s="1854"/>
      <c r="BQ75" s="1854"/>
      <c r="BR75" s="99"/>
      <c r="BS75" s="99"/>
    </row>
    <row r="76" spans="1:71" ht="15.75">
      <c r="A76" s="1313"/>
      <c r="B76" s="1315"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18"/>
      <c r="B77" s="1319"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AE79" s="99"/>
      <c r="AF79" s="1343"/>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18"/>
      <c r="B80" s="1318" t="s">
        <v>374</v>
      </c>
      <c r="C80" s="1325">
        <f t="shared" ref="C80:H80" si="9">C79/$C$79</f>
        <v>1</v>
      </c>
      <c r="D80" s="1326">
        <f t="shared" si="9"/>
        <v>0</v>
      </c>
      <c r="E80" s="1326">
        <f t="shared" si="9"/>
        <v>0.93845226140483384</v>
      </c>
      <c r="F80" s="1326">
        <f t="shared" si="9"/>
        <v>0</v>
      </c>
      <c r="G80" s="1326">
        <f t="shared" si="9"/>
        <v>0</v>
      </c>
      <c r="H80" s="1327">
        <f t="shared" si="9"/>
        <v>6.154773859516615E-2</v>
      </c>
      <c r="L80" s="1322"/>
      <c r="M80" s="1322"/>
      <c r="N80" s="1322"/>
      <c r="AE80" s="99"/>
      <c r="AF80" s="1343"/>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3"/>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2"/>
      <c r="AF82" s="1332"/>
      <c r="AG82" s="198"/>
      <c r="AH82" s="1346"/>
      <c r="AI82" s="1346"/>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2"/>
      <c r="AF83" s="1332"/>
      <c r="AG83" s="198"/>
      <c r="AH83" s="1346"/>
      <c r="AI83" s="1346"/>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2"/>
      <c r="AF84" s="1332"/>
      <c r="AG84" s="198"/>
      <c r="AH84" s="1346"/>
      <c r="AI84" s="1346"/>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2"/>
      <c r="AF85" s="1332"/>
      <c r="AG85" s="198"/>
      <c r="AH85" s="1346"/>
      <c r="AI85" s="1346"/>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2"/>
      <c r="AF86" s="1332"/>
      <c r="AG86" s="198"/>
      <c r="AH86" s="1346"/>
      <c r="AI86" s="1346"/>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23" t="s">
        <v>602</v>
      </c>
      <c r="B94" s="1824"/>
      <c r="C94" s="1824"/>
      <c r="D94" s="1825"/>
      <c r="E94" s="1857" t="s">
        <v>600</v>
      </c>
      <c r="F94" s="1858"/>
      <c r="G94" s="1859"/>
      <c r="H94" s="1860" t="s">
        <v>601</v>
      </c>
      <c r="I94" s="1861"/>
      <c r="J94" s="1861"/>
      <c r="K94" s="1862"/>
      <c r="L94" s="1863" t="s">
        <v>598</v>
      </c>
      <c r="M94" s="1843"/>
      <c r="N94" s="1843"/>
      <c r="O94" s="1843"/>
      <c r="P94" s="1844"/>
      <c r="Q94" s="1842" t="s">
        <v>782</v>
      </c>
      <c r="R94" s="1843"/>
      <c r="S94" s="1843"/>
      <c r="T94" s="1843"/>
      <c r="U94" s="1844"/>
      <c r="V94" s="1798" t="s">
        <v>763</v>
      </c>
      <c r="W94" s="1780" t="s">
        <v>608</v>
      </c>
      <c r="X94" s="1864"/>
      <c r="Y94" s="1865" t="s">
        <v>594</v>
      </c>
      <c r="Z94" s="1845" t="s">
        <v>770</v>
      </c>
      <c r="AA94" s="1845" t="s">
        <v>778</v>
      </c>
      <c r="AB94" s="1838" t="s">
        <v>780</v>
      </c>
      <c r="AC94" s="1847" t="s">
        <v>788</v>
      </c>
      <c r="AD94" s="1838" t="s">
        <v>780</v>
      </c>
      <c r="AE94" s="1838" t="s">
        <v>779</v>
      </c>
      <c r="AF94" s="1894" t="s">
        <v>781</v>
      </c>
      <c r="AG94" s="1886" t="s">
        <v>609</v>
      </c>
      <c r="AH94" s="1886"/>
      <c r="AI94" s="1886"/>
      <c r="AJ94" s="1886"/>
      <c r="AK94" s="1886"/>
      <c r="AL94" s="1886"/>
      <c r="AM94" s="1887"/>
      <c r="AN94" s="1887"/>
      <c r="AO94" s="1887"/>
      <c r="AP94" s="1887"/>
      <c r="AQ94" s="1887"/>
      <c r="AR94" s="1870" t="s">
        <v>612</v>
      </c>
      <c r="AS94" s="1871"/>
      <c r="AT94" s="1871"/>
      <c r="AU94" s="1871"/>
      <c r="AV94" s="1871"/>
      <c r="AW94" s="1871"/>
      <c r="AX94" s="1871"/>
      <c r="AY94" s="1871"/>
      <c r="AZ94" s="1871"/>
      <c r="BA94" s="1871"/>
      <c r="BB94" s="1871"/>
      <c r="BC94" s="1836" t="s">
        <v>225</v>
      </c>
      <c r="BD94" s="1806" t="s">
        <v>616</v>
      </c>
      <c r="BE94" s="1872" t="s">
        <v>610</v>
      </c>
      <c r="BF94" s="1872"/>
      <c r="BG94" s="1872"/>
      <c r="BH94" s="1872"/>
      <c r="BI94" s="1872"/>
      <c r="BJ94" s="1872"/>
      <c r="BK94" s="1872"/>
      <c r="BL94" s="1873"/>
      <c r="BM94" s="1713" t="s">
        <v>741</v>
      </c>
      <c r="BN94" s="1714"/>
      <c r="BO94" s="1714"/>
      <c r="BP94" s="1714"/>
      <c r="BQ94" s="1714"/>
      <c r="BR94" s="1714"/>
      <c r="BS94" s="1714"/>
      <c r="BT94" s="1715"/>
      <c r="BV94" s="1792" t="s">
        <v>635</v>
      </c>
      <c r="BW94" s="1793"/>
      <c r="BX94" s="1812"/>
      <c r="BY94" s="1792" t="s">
        <v>638</v>
      </c>
      <c r="BZ94" s="1793"/>
      <c r="CA94" s="1794"/>
      <c r="CB94" s="1811" t="s">
        <v>636</v>
      </c>
      <c r="CC94" s="1810"/>
      <c r="CD94" s="1809" t="s">
        <v>639</v>
      </c>
      <c r="CE94" s="1810"/>
      <c r="CG94" s="1801" t="s">
        <v>742</v>
      </c>
      <c r="CH94" s="1802"/>
      <c r="CI94" s="1802"/>
      <c r="CJ94" s="1802"/>
      <c r="CK94" s="1802"/>
      <c r="CL94" s="1802"/>
      <c r="CM94" s="1803"/>
    </row>
    <row r="95" spans="1:91" s="10" customFormat="1" ht="42.6" customHeight="1" thickBot="1">
      <c r="A95" s="1821" t="s">
        <v>217</v>
      </c>
      <c r="B95" s="1582" t="s">
        <v>218</v>
      </c>
      <c r="C95" s="1582" t="s">
        <v>390</v>
      </c>
      <c r="D95" s="1562" t="s">
        <v>500</v>
      </c>
      <c r="E95" s="1583" t="s">
        <v>501</v>
      </c>
      <c r="F95" s="1584" t="s">
        <v>504</v>
      </c>
      <c r="G95" s="1585" t="s">
        <v>528</v>
      </c>
      <c r="H95" s="1586" t="s">
        <v>478</v>
      </c>
      <c r="I95" s="1587" t="s">
        <v>288</v>
      </c>
      <c r="J95" s="1588" t="s">
        <v>773</v>
      </c>
      <c r="K95" s="1589" t="s">
        <v>596</v>
      </c>
      <c r="L95" s="1590" t="s">
        <v>87</v>
      </c>
      <c r="M95" s="1591" t="s">
        <v>323</v>
      </c>
      <c r="N95" s="1591" t="s">
        <v>324</v>
      </c>
      <c r="O95" s="1591" t="s">
        <v>325</v>
      </c>
      <c r="P95" s="1592" t="s">
        <v>582</v>
      </c>
      <c r="Q95" s="1593" t="s">
        <v>87</v>
      </c>
      <c r="R95" s="1591" t="s">
        <v>323</v>
      </c>
      <c r="S95" s="1591" t="s">
        <v>324</v>
      </c>
      <c r="T95" s="1591" t="s">
        <v>325</v>
      </c>
      <c r="U95" s="1594" t="s">
        <v>582</v>
      </c>
      <c r="V95" s="1841"/>
      <c r="W95" s="1595" t="s">
        <v>605</v>
      </c>
      <c r="X95" s="1641" t="s">
        <v>576</v>
      </c>
      <c r="Y95" s="1866"/>
      <c r="Z95" s="1846"/>
      <c r="AA95" s="1846"/>
      <c r="AB95" s="1839"/>
      <c r="AC95" s="1848"/>
      <c r="AD95" s="1839"/>
      <c r="AE95" s="1839"/>
      <c r="AF95" s="1895"/>
      <c r="AG95" s="1092" t="s">
        <v>473</v>
      </c>
      <c r="AH95" s="1580" t="s">
        <v>489</v>
      </c>
      <c r="AI95" s="1580" t="s">
        <v>814</v>
      </c>
      <c r="AJ95" s="1580" t="s">
        <v>377</v>
      </c>
      <c r="AK95" s="1580" t="s">
        <v>225</v>
      </c>
      <c r="AL95" s="713" t="s">
        <v>591</v>
      </c>
      <c r="AM95" s="1579" t="s">
        <v>473</v>
      </c>
      <c r="AN95" s="1580" t="s">
        <v>489</v>
      </c>
      <c r="AO95" s="1580" t="s">
        <v>376</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7"/>
      <c r="BD95" s="1807"/>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1" t="s">
        <v>531</v>
      </c>
      <c r="BW95" s="1252" t="s">
        <v>624</v>
      </c>
      <c r="BX95" s="1253" t="str">
        <f>D135</f>
        <v xml:space="preserve">Coal ash generated - ‘IRP realistic’ </v>
      </c>
      <c r="BY95" s="1251" t="s">
        <v>531</v>
      </c>
      <c r="BZ95" s="1252" t="s">
        <v>624</v>
      </c>
      <c r="CA95" s="1254" t="s">
        <v>630</v>
      </c>
      <c r="CB95" s="1255" t="s">
        <v>267</v>
      </c>
      <c r="CC95" s="1256" t="s">
        <v>633</v>
      </c>
      <c r="CD95" s="1257" t="s">
        <v>267</v>
      </c>
      <c r="CE95" s="1256" t="s">
        <v>633</v>
      </c>
      <c r="CF95"/>
      <c r="CG95" s="1258" t="s">
        <v>87</v>
      </c>
      <c r="CH95" s="1259" t="s">
        <v>323</v>
      </c>
      <c r="CI95" s="1259" t="s">
        <v>324</v>
      </c>
      <c r="CJ95" s="1259" t="s">
        <v>325</v>
      </c>
      <c r="CK95" s="1260" t="s">
        <v>582</v>
      </c>
      <c r="CL95" s="1259" t="s">
        <v>303</v>
      </c>
      <c r="CM95" s="1804" t="s">
        <v>743</v>
      </c>
    </row>
    <row r="96" spans="1:91" ht="16.5" thickBot="1">
      <c r="A96" s="1856"/>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1472" t="s">
        <v>229</v>
      </c>
      <c r="X96" s="1642" t="s">
        <v>228</v>
      </c>
      <c r="Y96" s="709" t="s">
        <v>228</v>
      </c>
      <c r="Z96" s="1644" t="s">
        <v>228</v>
      </c>
      <c r="AA96" s="1644" t="s">
        <v>228</v>
      </c>
      <c r="AB96" s="1840"/>
      <c r="AC96" s="1848"/>
      <c r="AD96" s="1840"/>
      <c r="AE96" s="1644" t="s">
        <v>28</v>
      </c>
      <c r="AF96" s="1645" t="s">
        <v>3</v>
      </c>
      <c r="AG96" s="1643"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8"/>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1153" t="s">
        <v>625</v>
      </c>
      <c r="BW96" s="1154" t="s">
        <v>229</v>
      </c>
      <c r="BX96" s="1483" t="s">
        <v>625</v>
      </c>
      <c r="BY96" s="1153" t="s">
        <v>625</v>
      </c>
      <c r="BZ96" s="1154" t="s">
        <v>229</v>
      </c>
      <c r="CA96" s="1155" t="s">
        <v>625</v>
      </c>
      <c r="CB96" s="1476" t="s">
        <v>229</v>
      </c>
      <c r="CC96" s="1477" t="s">
        <v>229</v>
      </c>
      <c r="CD96" s="1478" t="s">
        <v>229</v>
      </c>
      <c r="CE96" s="1477" t="s">
        <v>229</v>
      </c>
      <c r="CG96" s="1267" t="s">
        <v>228</v>
      </c>
      <c r="CH96" s="1267" t="s">
        <v>228</v>
      </c>
      <c r="CI96" s="1267" t="s">
        <v>228</v>
      </c>
      <c r="CJ96" s="1267" t="s">
        <v>228</v>
      </c>
      <c r="CK96" s="1267" t="s">
        <v>228</v>
      </c>
      <c r="CL96" s="1267" t="s">
        <v>228</v>
      </c>
      <c r="CM96" s="1805"/>
    </row>
    <row r="97" spans="1:91">
      <c r="A97" s="127">
        <f>'Input data'!A117</f>
        <v>2017</v>
      </c>
      <c r="B97" s="662">
        <f>'Input data'!B117</f>
        <v>56.521948041648095</v>
      </c>
      <c r="C97" s="236">
        <f>'Input data'!C117</f>
        <v>3117.5115237718705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7">
        <f>H97*$M$75*P97*B97-H97*$M$75*$P$97*B97</f>
        <v>0</v>
      </c>
      <c r="V97" s="528">
        <f t="shared" ref="V97:V130" si="10">SUM(Q97:U97)</f>
        <v>0</v>
      </c>
      <c r="W97" s="708">
        <v>0</v>
      </c>
      <c r="X97" s="1467">
        <f>W97*($C$76+$D$76)*$B$10*$I$97</f>
        <v>0</v>
      </c>
      <c r="Y97" s="528">
        <f>X97+V97</f>
        <v>0</v>
      </c>
      <c r="Z97" s="528">
        <f>$J$97-Y97</f>
        <v>11144.031481960794</v>
      </c>
      <c r="AA97" s="530">
        <f>Z97-J97</f>
        <v>0</v>
      </c>
      <c r="AB97" s="1091">
        <f>AA97/Z97</f>
        <v>0</v>
      </c>
      <c r="AC97" s="1489"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8">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1552">
        <f>'Input data'!D118</f>
        <v>50359792.847133137</v>
      </c>
      <c r="E98" s="1454">
        <f t="shared" ref="E98:E129" si="29">($E$130-$E$97)/($A$130-$A$97)+E97</f>
        <v>0.72344242424242422</v>
      </c>
      <c r="F98" s="1504">
        <f t="shared" ref="F98:F129" si="30">($F$130-$F$97)/($A$130-$A$97)+F97</f>
        <v>0.29195303030303027</v>
      </c>
      <c r="G98" s="1509">
        <f>B98*F98*'Input data'!$C$9</f>
        <v>513.23849841295737</v>
      </c>
      <c r="H98" s="1508">
        <f>'Input data'!I118</f>
        <v>424.26313389388866</v>
      </c>
      <c r="I98" s="1509">
        <f>'Input data'!K118</f>
        <v>24367.977620226877</v>
      </c>
      <c r="J98" s="1509">
        <f>$J$97*(1+(($J$110/$J$97)^(1/($A$110-$A$97))-1))^(A98-$A$97)</f>
        <v>10565.405667134863</v>
      </c>
      <c r="K98" s="1511">
        <f>I98*$B$10-J98</f>
        <v>758.84307612277735</v>
      </c>
      <c r="L98" s="1504">
        <f t="shared" ref="L98:L106" si="31">($L$110-$L$97)/($A$110-$A$97)+L97</f>
        <v>0.57999999999999996</v>
      </c>
      <c r="M98" s="1504">
        <f t="shared" ref="M98:M106" si="32">($M$110-$M$97)/($A$110-$A$97)+M97</f>
        <v>0.437</v>
      </c>
      <c r="N98" s="1504">
        <f t="shared" ref="N98:N106" si="33">($N$110-$N$97)/($A$110-$A$97)+N97</f>
        <v>0.71200000000000008</v>
      </c>
      <c r="O98" s="1504">
        <f t="shared" ref="O98:O106" si="34">($O$110-$O$97)/($A$110-$A$97)+O97</f>
        <v>0.8</v>
      </c>
      <c r="P98" s="1504">
        <f t="shared" ref="P98:P109" si="35">($P$110-$P$97)/($A$110-$A$97)+P97</f>
        <v>0.23600000000000002</v>
      </c>
      <c r="Q98" s="1508">
        <f t="shared" ref="Q98:Q130" si="36">H98*$E$75*L98*B98-H98*$E$75*$L$97*B98</f>
        <v>0</v>
      </c>
      <c r="R98" s="1509">
        <f t="shared" ref="R98:R130" si="37">H98*$J$75*M98*B98-H98*$J$75*$M$97*B98</f>
        <v>0</v>
      </c>
      <c r="S98" s="1509">
        <f t="shared" ref="S98:S130" si="38">H98*$K$75*N98*B98-H98*$K$75*$N$97*B98</f>
        <v>0</v>
      </c>
      <c r="T98" s="1509">
        <f t="shared" ref="T98:T130" si="39">H98*$L$75*O98*B98-H98*$L$75*$O$97*B98</f>
        <v>0</v>
      </c>
      <c r="U98" s="1511">
        <f t="shared" ref="U98:U130" si="40">H98*$M$75*P98*B98-H98*$M$75*$P$97*B98</f>
        <v>0</v>
      </c>
      <c r="V98" s="1509">
        <f t="shared" si="10"/>
        <v>0</v>
      </c>
      <c r="W98" s="1454">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108.3176056127139</v>
      </c>
      <c r="BW98" s="114">
        <f t="shared" ref="BW98:BW130" si="65">((AK98-AM98*AK98)+(AC138-AC138*AE138))/(AK98+AC138)</f>
        <v>0.30342298638676968</v>
      </c>
      <c r="BX98" s="1689">
        <f t="shared" si="25"/>
        <v>50.359792847133136</v>
      </c>
      <c r="BY98" s="527">
        <f t="shared" ref="BY98:BY130" si="66">(AK98+AC178)*1000/10^6</f>
        <v>108.3176056127139</v>
      </c>
      <c r="BZ98" s="417">
        <f t="shared" ref="BZ98:BZ130" si="67">((AK98-AM98*AK98)+(AC178-AC178*AE178))/(AK98+AC178)</f>
        <v>0.30342298638676968</v>
      </c>
      <c r="CA98" s="544">
        <f t="shared" si="26"/>
        <v>50.359792847133136</v>
      </c>
      <c r="CB98" s="649">
        <f t="shared" si="27"/>
        <v>2.3712632285903479E-2</v>
      </c>
      <c r="CC98" s="525">
        <f t="shared" ref="CC98:CC130" si="68">W178</f>
        <v>4.2790890844820795E-2</v>
      </c>
      <c r="CD98" s="417">
        <f t="shared" si="28"/>
        <v>2.3712632285903479E-2</v>
      </c>
      <c r="CE98" s="525">
        <f t="shared" ref="CE98:CE130" si="69">W178</f>
        <v>4.2790890844820795E-2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1">
        <f>'Input data'!B119</f>
        <v>58.364834921819444</v>
      </c>
      <c r="C99" s="1550">
        <f>'Input data'!C119</f>
        <v>4454.6933079776372</v>
      </c>
      <c r="D99" s="1552">
        <f>'Input data'!D119</f>
        <v>53709279.804327965</v>
      </c>
      <c r="E99" s="1454">
        <f t="shared" si="29"/>
        <v>0.73208484848484845</v>
      </c>
      <c r="F99" s="1504">
        <f t="shared" si="30"/>
        <v>0.29430606060606057</v>
      </c>
      <c r="G99" s="1509">
        <f>B99*F99*'Input data'!$C$9</f>
        <v>525.74180751182632</v>
      </c>
      <c r="H99" s="1508">
        <f>'Input data'!I119</f>
        <v>424.26313389388866</v>
      </c>
      <c r="I99" s="1509">
        <f>'Input data'!K119</f>
        <v>24762.047773130591</v>
      </c>
      <c r="J99" s="1509">
        <f t="shared" ref="J99:J109" si="77">$J$97*(1+(($J$110/$J$97)^(1/($A$110-$A$97))-1))^(A99-$A$97)</f>
        <v>10016.823542882215</v>
      </c>
      <c r="K99" s="1511">
        <f t="shared" ref="K99:K130" si="78">I99*$B$10-J99</f>
        <v>1490.5568702794153</v>
      </c>
      <c r="L99" s="1504">
        <f t="shared" si="31"/>
        <v>0.57999999999999996</v>
      </c>
      <c r="M99" s="1504">
        <f t="shared" si="32"/>
        <v>0.437</v>
      </c>
      <c r="N99" s="1504">
        <f t="shared" si="33"/>
        <v>0.71200000000000008</v>
      </c>
      <c r="O99" s="1504">
        <f t="shared" si="34"/>
        <v>0.8</v>
      </c>
      <c r="P99" s="1504">
        <f t="shared" si="35"/>
        <v>0.23600000000000002</v>
      </c>
      <c r="Q99" s="1508">
        <f t="shared" si="36"/>
        <v>0</v>
      </c>
      <c r="R99" s="1509">
        <f t="shared" si="37"/>
        <v>0</v>
      </c>
      <c r="S99" s="1509">
        <f t="shared" si="38"/>
        <v>0</v>
      </c>
      <c r="T99" s="1509">
        <f t="shared" si="39"/>
        <v>0</v>
      </c>
      <c r="U99" s="1511">
        <f t="shared" si="40"/>
        <v>0</v>
      </c>
      <c r="V99" s="1509">
        <f t="shared" si="10"/>
        <v>0</v>
      </c>
      <c r="W99" s="1454">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112.05118639834505</v>
      </c>
      <c r="BW99" s="114">
        <f t="shared" si="65"/>
        <v>0.36159603217363262</v>
      </c>
      <c r="BX99" s="1689">
        <f t="shared" si="25"/>
        <v>53.709279804327963</v>
      </c>
      <c r="BY99" s="527">
        <f t="shared" si="66"/>
        <v>112.05118639834505</v>
      </c>
      <c r="BZ99" s="417">
        <f t="shared" si="67"/>
        <v>0.36159603217363262</v>
      </c>
      <c r="CA99" s="544">
        <f t="shared" si="26"/>
        <v>53.709279804327963</v>
      </c>
      <c r="CB99" s="649">
        <f t="shared" si="27"/>
        <v>4.7766344222348933E-2</v>
      </c>
      <c r="CC99" s="525">
        <f t="shared" si="68"/>
        <v>0.17550123929407857</v>
      </c>
      <c r="CD99" s="417">
        <f t="shared" si="28"/>
        <v>4.7766344222348933E-2</v>
      </c>
      <c r="CE99" s="525">
        <f t="shared" si="69"/>
        <v>0.17550123929407857</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1">
        <f>'Input data'!B120</f>
        <v>59.308690000000006</v>
      </c>
      <c r="C100" s="1550">
        <f>'Input data'!C120</f>
        <v>4168.5687090306074</v>
      </c>
      <c r="D100" s="1552">
        <f>'Input data'!D120</f>
        <v>50685422.165534832</v>
      </c>
      <c r="E100" s="1454">
        <f t="shared" si="29"/>
        <v>0.74072727272727268</v>
      </c>
      <c r="F100" s="1504">
        <f t="shared" si="30"/>
        <v>0.29665909090909087</v>
      </c>
      <c r="G100" s="1509">
        <f>B100*F100*'Input data'!$C$9</f>
        <v>538.51529150686906</v>
      </c>
      <c r="H100" s="1508">
        <f>'Input data'!I120</f>
        <v>424.26313389388866</v>
      </c>
      <c r="I100" s="1509">
        <f>'Input data'!K120</f>
        <v>25162.490686541139</v>
      </c>
      <c r="J100" s="1509">
        <f t="shared" si="77"/>
        <v>9496.7251661098635</v>
      </c>
      <c r="K100" s="1511">
        <f t="shared" si="78"/>
        <v>2196.7484563286725</v>
      </c>
      <c r="L100" s="1504">
        <f t="shared" si="31"/>
        <v>0.57999999999999996</v>
      </c>
      <c r="M100" s="1504">
        <f t="shared" si="32"/>
        <v>0.437</v>
      </c>
      <c r="N100" s="1504">
        <f t="shared" si="33"/>
        <v>0.71200000000000008</v>
      </c>
      <c r="O100" s="1504">
        <f t="shared" si="34"/>
        <v>0.8</v>
      </c>
      <c r="P100" s="1504">
        <f t="shared" si="35"/>
        <v>0.23600000000000002</v>
      </c>
      <c r="Q100" s="1508">
        <f t="shared" si="36"/>
        <v>0</v>
      </c>
      <c r="R100" s="1509">
        <f t="shared" si="37"/>
        <v>0</v>
      </c>
      <c r="S100" s="1509">
        <f t="shared" si="38"/>
        <v>0</v>
      </c>
      <c r="T100" s="1509">
        <f t="shared" si="39"/>
        <v>0</v>
      </c>
      <c r="U100" s="1511">
        <f t="shared" si="40"/>
        <v>0</v>
      </c>
      <c r="V100" s="1509">
        <f t="shared" si="10"/>
        <v>0</v>
      </c>
      <c r="W100" s="1454">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107.41773191637904</v>
      </c>
      <c r="BW100" s="114">
        <f t="shared" si="65"/>
        <v>0.36863586907576812</v>
      </c>
      <c r="BX100" s="1689">
        <f t="shared" si="25"/>
        <v>50.685422165534831</v>
      </c>
      <c r="BY100" s="527">
        <f t="shared" si="66"/>
        <v>107.41773191637904</v>
      </c>
      <c r="BZ100" s="417">
        <f t="shared" si="67"/>
        <v>0.36863586907576812</v>
      </c>
      <c r="CA100" s="544">
        <f t="shared" si="26"/>
        <v>50.685422165534831</v>
      </c>
      <c r="CB100" s="649">
        <f t="shared" si="27"/>
        <v>7.0040644951311681E-2</v>
      </c>
      <c r="CC100" s="525">
        <f t="shared" si="68"/>
        <v>0.16680299581403968</v>
      </c>
      <c r="CD100" s="417">
        <f t="shared" si="28"/>
        <v>7.0040644951311681E-2</v>
      </c>
      <c r="CE100" s="525">
        <f t="shared" si="69"/>
        <v>0.16680299581403968</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1">
        <f>'Input data'!B121</f>
        <v>59.991580449204264</v>
      </c>
      <c r="C101" s="1550">
        <f>'Input data'!C121</f>
        <v>4297.0962474291</v>
      </c>
      <c r="D101" s="1552">
        <f>'Input data'!D121</f>
        <v>50618072.007836998</v>
      </c>
      <c r="E101" s="1454">
        <f t="shared" si="29"/>
        <v>0.74936969696969691</v>
      </c>
      <c r="F101" s="1504">
        <f t="shared" si="30"/>
        <v>0.29901212121212117</v>
      </c>
      <c r="G101" s="1509">
        <f>B101*F101*'Input data'!$C$9</f>
        <v>549.0364074270924</v>
      </c>
      <c r="H101" s="1508">
        <f>'Input data'!I121</f>
        <v>424.26313389388866</v>
      </c>
      <c r="I101" s="1509">
        <f>'Input data'!K121</f>
        <v>25452.215928626742</v>
      </c>
      <c r="J101" s="1509">
        <f t="shared" si="77"/>
        <v>9003.6315898476932</v>
      </c>
      <c r="K101" s="1511">
        <f t="shared" si="78"/>
        <v>2824.482697471236</v>
      </c>
      <c r="L101" s="1504">
        <f t="shared" si="31"/>
        <v>0.57999999999999996</v>
      </c>
      <c r="M101" s="1504">
        <f t="shared" si="32"/>
        <v>0.437</v>
      </c>
      <c r="N101" s="1504">
        <f t="shared" si="33"/>
        <v>0.71200000000000008</v>
      </c>
      <c r="O101" s="1504">
        <f t="shared" si="34"/>
        <v>0.8</v>
      </c>
      <c r="P101" s="1504">
        <f t="shared" si="35"/>
        <v>0.23600000000000002</v>
      </c>
      <c r="Q101" s="1508">
        <f t="shared" si="36"/>
        <v>0</v>
      </c>
      <c r="R101" s="1509">
        <f t="shared" si="37"/>
        <v>0</v>
      </c>
      <c r="S101" s="1509">
        <f t="shared" si="38"/>
        <v>0</v>
      </c>
      <c r="T101" s="1509">
        <f t="shared" si="39"/>
        <v>0</v>
      </c>
      <c r="U101" s="1511">
        <f t="shared" si="40"/>
        <v>0</v>
      </c>
      <c r="V101" s="1509">
        <f t="shared" si="10"/>
        <v>0</v>
      </c>
      <c r="W101" s="1454">
        <f>($W$102-$W$97)/($A$102-$A$97)+W100</f>
        <v>0.2</v>
      </c>
      <c r="X101" s="530">
        <f t="shared" si="41"/>
        <v>1213.3941881208284</v>
      </c>
      <c r="Y101" s="528">
        <f t="shared" si="79"/>
        <v>1213.3941881208284</v>
      </c>
      <c r="Z101" s="528">
        <f t="shared" si="80"/>
        <v>10614.720099198101</v>
      </c>
      <c r="AA101" s="530">
        <f t="shared" si="81"/>
        <v>1611.0885093504075</v>
      </c>
      <c r="AB101" s="1091">
        <f t="shared" si="42"/>
        <v>0.15177870865121718</v>
      </c>
      <c r="AC101" s="135" t="str">
        <f t="shared" si="43"/>
        <v>Yes</v>
      </c>
      <c r="AD101" s="1091">
        <f t="shared" si="44"/>
        <v>0.15177870865121718</v>
      </c>
      <c r="AE101" s="649">
        <f t="shared" si="11"/>
        <v>8.7685876347071812E-2</v>
      </c>
      <c r="AF101" s="530">
        <f t="shared" si="45"/>
        <v>387.06124919664796</v>
      </c>
      <c r="AG101" s="527">
        <f t="shared" si="46"/>
        <v>9003.6315898476932</v>
      </c>
      <c r="AH101" s="528">
        <f t="shared" si="82"/>
        <v>6976.8230420886903</v>
      </c>
      <c r="AI101" s="528">
        <f t="shared" si="83"/>
        <v>4617.5691834333375</v>
      </c>
      <c r="AJ101" s="528">
        <f t="shared" si="12"/>
        <v>2622.3922545804858</v>
      </c>
      <c r="AK101" s="528">
        <f t="shared" si="47"/>
        <v>23220.416069950206</v>
      </c>
      <c r="AL101" s="716">
        <f t="shared" si="13"/>
        <v>0</v>
      </c>
      <c r="AM101" s="649">
        <f t="shared" si="48"/>
        <v>0.38774635057032381</v>
      </c>
      <c r="AN101" s="417">
        <f t="shared" si="49"/>
        <v>0.30046072478078778</v>
      </c>
      <c r="AO101" s="417">
        <f t="shared" si="50"/>
        <v>0.19885815867911963</v>
      </c>
      <c r="AP101" s="417">
        <f t="shared" si="51"/>
        <v>0.11293476596976883</v>
      </c>
      <c r="AQ101" s="525">
        <f t="shared" si="52"/>
        <v>1</v>
      </c>
      <c r="AR101" s="1086">
        <f t="shared" si="14"/>
        <v>1954.2666849985153</v>
      </c>
      <c r="AS101" s="938">
        <f t="shared" si="15"/>
        <v>2478.5388572702323</v>
      </c>
      <c r="AT101" s="938">
        <f t="shared" si="16"/>
        <v>591.92099244935036</v>
      </c>
      <c r="AU101" s="938">
        <f t="shared" si="17"/>
        <v>0</v>
      </c>
      <c r="AV101" s="938">
        <f t="shared" si="18"/>
        <v>0</v>
      </c>
      <c r="AW101" s="938">
        <f t="shared" si="19"/>
        <v>0</v>
      </c>
      <c r="AX101" s="938">
        <f t="shared" si="20"/>
        <v>2519.4157223287821</v>
      </c>
      <c r="AY101" s="938">
        <f t="shared" si="21"/>
        <v>364.2500708368654</v>
      </c>
      <c r="AZ101" s="938">
        <f t="shared" si="22"/>
        <v>529.43559771480932</v>
      </c>
      <c r="BA101" s="938">
        <f t="shared" si="23"/>
        <v>465.41591843572576</v>
      </c>
      <c r="BB101" s="938">
        <f t="shared" si="24"/>
        <v>100.38774581341113</v>
      </c>
      <c r="BC101" s="530">
        <f t="shared" si="53"/>
        <v>9003.6315898476896</v>
      </c>
      <c r="BD101" s="724">
        <f t="shared" si="54"/>
        <v>0</v>
      </c>
      <c r="BE101" s="436">
        <f t="shared" si="55"/>
        <v>0.21705315966083133</v>
      </c>
      <c r="BF101" s="624">
        <f t="shared" si="56"/>
        <v>0.27528212727684037</v>
      </c>
      <c r="BG101" s="624">
        <f t="shared" si="57"/>
        <v>6.5742471417509829E-2</v>
      </c>
      <c r="BH101" s="624">
        <f t="shared" si="58"/>
        <v>0</v>
      </c>
      <c r="BI101" s="624">
        <f t="shared" si="59"/>
        <v>0</v>
      </c>
      <c r="BJ101" s="624">
        <f t="shared" si="60"/>
        <v>0</v>
      </c>
      <c r="BK101" s="624">
        <f t="shared" si="61"/>
        <v>0.44192224164481869</v>
      </c>
      <c r="BL101" s="624">
        <f t="shared" si="62"/>
        <v>1.0000000000000002</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105.32657968058341</v>
      </c>
      <c r="BW101" s="114">
        <f t="shared" si="65"/>
        <v>0.38953362391609891</v>
      </c>
      <c r="BX101" s="1689">
        <f t="shared" si="25"/>
        <v>50.618072007837</v>
      </c>
      <c r="BY101" s="527">
        <f t="shared" si="66"/>
        <v>105.32657968058341</v>
      </c>
      <c r="BZ101" s="417">
        <f t="shared" si="67"/>
        <v>0.38953362391609891</v>
      </c>
      <c r="CA101" s="544">
        <f t="shared" si="26"/>
        <v>50.618072007837</v>
      </c>
      <c r="CB101" s="649">
        <f t="shared" si="27"/>
        <v>8.7685876347071812E-2</v>
      </c>
      <c r="CC101" s="525">
        <f t="shared" si="68"/>
        <v>0.19752867950801611</v>
      </c>
      <c r="CD101" s="417">
        <f t="shared" si="28"/>
        <v>8.7685876347071812E-2</v>
      </c>
      <c r="CE101" s="525">
        <f t="shared" si="69"/>
        <v>0.19752867950801611</v>
      </c>
      <c r="CG101" s="527">
        <f t="shared" si="70"/>
        <v>1317.2107919786154</v>
      </c>
      <c r="CH101" s="528">
        <f t="shared" si="71"/>
        <v>509.86203353647488</v>
      </c>
      <c r="CI101" s="528">
        <f t="shared" si="72"/>
        <v>2109.1791966906549</v>
      </c>
      <c r="CJ101" s="528">
        <f t="shared" si="73"/>
        <v>2999.950295135407</v>
      </c>
      <c r="CK101" s="528">
        <f t="shared" si="74"/>
        <v>40.620724747537743</v>
      </c>
      <c r="CL101" s="528">
        <f t="shared" si="75"/>
        <v>6976.8230420886903</v>
      </c>
      <c r="CM101" s="646">
        <f t="shared" si="76"/>
        <v>0</v>
      </c>
    </row>
    <row r="102" spans="1:91" s="1" customFormat="1">
      <c r="A102" s="873">
        <f>'Input data'!A122</f>
        <v>2022</v>
      </c>
      <c r="B102" s="1551">
        <f>'Input data'!B122</f>
        <v>60.682333816399378</v>
      </c>
      <c r="C102" s="1550">
        <f>'Input data'!C122</f>
        <v>4398.6096135141943</v>
      </c>
      <c r="D102" s="1552">
        <f>'Input data'!D122</f>
        <v>50359792.847133137</v>
      </c>
      <c r="E102" s="1454">
        <f t="shared" si="29"/>
        <v>0.75801212121212114</v>
      </c>
      <c r="F102" s="1504">
        <f t="shared" si="30"/>
        <v>0.30136515151515147</v>
      </c>
      <c r="G102" s="1509">
        <f>B102*F102*'Input data'!$C$9</f>
        <v>559.72841293499425</v>
      </c>
      <c r="H102" s="1508">
        <f>'Input data'!I122</f>
        <v>424.26313389388866</v>
      </c>
      <c r="I102" s="1509">
        <f>'Input data'!K122</f>
        <v>25745.277116940699</v>
      </c>
      <c r="J102" s="1509">
        <f>$J$97*(1+(($J$110/$J$97)^(1/($A$110-$A$97))-1))^(A102-$A$97)</f>
        <v>8536.1406577284433</v>
      </c>
      <c r="K102" s="1511">
        <f t="shared" si="78"/>
        <v>3428.1645702251008</v>
      </c>
      <c r="L102" s="1504">
        <f t="shared" si="31"/>
        <v>0.57999999999999996</v>
      </c>
      <c r="M102" s="1504">
        <f t="shared" si="32"/>
        <v>0.437</v>
      </c>
      <c r="N102" s="1504">
        <f t="shared" si="33"/>
        <v>0.71200000000000008</v>
      </c>
      <c r="O102" s="1504">
        <f t="shared" si="34"/>
        <v>0.8</v>
      </c>
      <c r="P102" s="1504">
        <f t="shared" si="35"/>
        <v>0.23600000000000002</v>
      </c>
      <c r="Q102" s="1508">
        <f t="shared" si="36"/>
        <v>0</v>
      </c>
      <c r="R102" s="1509">
        <f t="shared" si="37"/>
        <v>0</v>
      </c>
      <c r="S102" s="1509">
        <f t="shared" si="38"/>
        <v>0</v>
      </c>
      <c r="T102" s="1509">
        <f t="shared" si="39"/>
        <v>0</v>
      </c>
      <c r="U102" s="1511">
        <f t="shared" si="40"/>
        <v>0</v>
      </c>
      <c r="V102" s="1509">
        <f t="shared" si="10"/>
        <v>0</v>
      </c>
      <c r="W102" s="1454">
        <f>$C$26</f>
        <v>0.25</v>
      </c>
      <c r="X102" s="530">
        <f t="shared" si="41"/>
        <v>1516.7427351510353</v>
      </c>
      <c r="Y102" s="528">
        <f t="shared" si="79"/>
        <v>1516.7427351510353</v>
      </c>
      <c r="Z102" s="528">
        <f t="shared" si="80"/>
        <v>10447.562492802508</v>
      </c>
      <c r="AA102" s="530">
        <f t="shared" si="81"/>
        <v>1911.4218350740648</v>
      </c>
      <c r="AB102" s="1091">
        <f t="shared" si="42"/>
        <v>0.18295385515912191</v>
      </c>
      <c r="AC102" s="135" t="str">
        <f t="shared" si="43"/>
        <v>Yes</v>
      </c>
      <c r="AD102" s="1091">
        <f t="shared" si="44"/>
        <v>0.18295385515912191</v>
      </c>
      <c r="AE102" s="649">
        <f t="shared" si="11"/>
        <v>0.10394016738010314</v>
      </c>
      <c r="AF102" s="530">
        <f t="shared" si="45"/>
        <v>380.16515274375075</v>
      </c>
      <c r="AG102" s="527">
        <f t="shared" si="46"/>
        <v>8536.1406577284433</v>
      </c>
      <c r="AH102" s="528">
        <f t="shared" si="82"/>
        <v>7057.1553816030291</v>
      </c>
      <c r="AI102" s="528">
        <f t="shared" si="83"/>
        <v>4920.9177304635441</v>
      </c>
      <c r="AJ102" s="528">
        <f t="shared" si="12"/>
        <v>2555.094934363724</v>
      </c>
      <c r="AK102" s="528">
        <f t="shared" si="47"/>
        <v>23069.308704158742</v>
      </c>
      <c r="AL102" s="716">
        <f t="shared" si="13"/>
        <v>0</v>
      </c>
      <c r="AM102" s="649">
        <f t="shared" si="48"/>
        <v>0.37002151937867211</v>
      </c>
      <c r="AN102" s="417">
        <f t="shared" si="49"/>
        <v>0.30591100375412739</v>
      </c>
      <c r="AO102" s="417">
        <f t="shared" si="50"/>
        <v>0.21331015131703718</v>
      </c>
      <c r="AP102" s="417">
        <f t="shared" si="51"/>
        <v>0.11075732555016322</v>
      </c>
      <c r="AQ102" s="525">
        <f t="shared" si="52"/>
        <v>1</v>
      </c>
      <c r="AR102" s="1086">
        <f t="shared" si="14"/>
        <v>1799.879546845305</v>
      </c>
      <c r="AS102" s="938">
        <f t="shared" si="15"/>
        <v>2282.7341987183368</v>
      </c>
      <c r="AT102" s="938">
        <f t="shared" si="16"/>
        <v>576.7307795808108</v>
      </c>
      <c r="AU102" s="938">
        <f t="shared" si="17"/>
        <v>0</v>
      </c>
      <c r="AV102" s="938">
        <f t="shared" si="18"/>
        <v>0</v>
      </c>
      <c r="AW102" s="938">
        <f t="shared" si="19"/>
        <v>0</v>
      </c>
      <c r="AX102" s="938">
        <f t="shared" si="20"/>
        <v>2454.7610443992867</v>
      </c>
      <c r="AY102" s="938">
        <f t="shared" si="21"/>
        <v>354.9024785332083</v>
      </c>
      <c r="AZ102" s="938">
        <f t="shared" si="22"/>
        <v>515.84892055339958</v>
      </c>
      <c r="BA102" s="938">
        <f t="shared" si="23"/>
        <v>453.47215066328846</v>
      </c>
      <c r="BB102" s="938">
        <f t="shared" si="24"/>
        <v>97.811538434807204</v>
      </c>
      <c r="BC102" s="530">
        <f t="shared" si="53"/>
        <v>8536.1406577284433</v>
      </c>
      <c r="BD102" s="724">
        <f t="shared" si="54"/>
        <v>0</v>
      </c>
      <c r="BE102" s="436">
        <f t="shared" si="55"/>
        <v>0.21085401693981362</v>
      </c>
      <c r="BF102" s="624">
        <f t="shared" si="56"/>
        <v>0.26741993721150753</v>
      </c>
      <c r="BG102" s="624">
        <f t="shared" si="57"/>
        <v>6.7563410996355919E-2</v>
      </c>
      <c r="BH102" s="624">
        <f t="shared" si="58"/>
        <v>0</v>
      </c>
      <c r="BI102" s="624">
        <f t="shared" si="59"/>
        <v>0</v>
      </c>
      <c r="BJ102" s="624">
        <f t="shared" si="60"/>
        <v>0</v>
      </c>
      <c r="BK102" s="624">
        <f t="shared" si="61"/>
        <v>0.45416263485232289</v>
      </c>
      <c r="BL102" s="624">
        <f t="shared" si="62"/>
        <v>0.99999999999999989</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103.29996426509275</v>
      </c>
      <c r="BW102" s="114">
        <f t="shared" si="65"/>
        <v>0.40987582678627849</v>
      </c>
      <c r="BX102" s="1689">
        <f t="shared" si="25"/>
        <v>50.359792847133136</v>
      </c>
      <c r="BY102" s="527">
        <f t="shared" si="66"/>
        <v>103.29996426509275</v>
      </c>
      <c r="BZ102" s="417">
        <f t="shared" si="67"/>
        <v>0.40987582678627849</v>
      </c>
      <c r="CA102" s="544">
        <f t="shared" si="26"/>
        <v>50.359792847133136</v>
      </c>
      <c r="CB102" s="649">
        <f t="shared" si="27"/>
        <v>0.10394016738010314</v>
      </c>
      <c r="CC102" s="525">
        <f t="shared" si="68"/>
        <v>0.22317084454113534</v>
      </c>
      <c r="CD102" s="417">
        <f t="shared" si="28"/>
        <v>0.10394016738010314</v>
      </c>
      <c r="CE102" s="525">
        <f t="shared" si="69"/>
        <v>0.22317084454113534</v>
      </c>
      <c r="CG102" s="527">
        <f t="shared" si="70"/>
        <v>1332.3773834078142</v>
      </c>
      <c r="CH102" s="528">
        <f t="shared" si="71"/>
        <v>515.73267261337799</v>
      </c>
      <c r="CI102" s="528">
        <f t="shared" si="72"/>
        <v>2133.4646484360969</v>
      </c>
      <c r="CJ102" s="528">
        <f t="shared" si="73"/>
        <v>3034.4922383925505</v>
      </c>
      <c r="CK102" s="528">
        <f t="shared" si="74"/>
        <v>41.088438753189351</v>
      </c>
      <c r="CL102" s="528">
        <f t="shared" si="75"/>
        <v>7057.1553816030291</v>
      </c>
      <c r="CM102" s="646">
        <f t="shared" si="76"/>
        <v>0</v>
      </c>
    </row>
    <row r="103" spans="1:91">
      <c r="A103" s="873">
        <f>'Input data'!A123</f>
        <v>2023</v>
      </c>
      <c r="B103" s="1551">
        <f>'Input data'!B123</f>
        <v>61.381040636574369</v>
      </c>
      <c r="C103" s="1550">
        <f>'Input data'!C123</f>
        <v>4491.3837914672167</v>
      </c>
      <c r="D103" s="1552">
        <f>'Input data'!D123</f>
        <v>49695564.714711666</v>
      </c>
      <c r="E103" s="1454">
        <f t="shared" si="29"/>
        <v>0.76665454545454537</v>
      </c>
      <c r="F103" s="1504">
        <f t="shared" si="30"/>
        <v>0.30371818181818178</v>
      </c>
      <c r="G103" s="1509">
        <f>B103*F103*'Input data'!$C$9</f>
        <v>570.59384848565696</v>
      </c>
      <c r="H103" s="1508">
        <f>'Input data'!I123</f>
        <v>424.26313389388866</v>
      </c>
      <c r="I103" s="1509">
        <f>'Input data'!K123</f>
        <v>26041.712662141173</v>
      </c>
      <c r="J103" s="1509">
        <f t="shared" si="77"/>
        <v>8092.9230168287222</v>
      </c>
      <c r="K103" s="1511">
        <f t="shared" si="78"/>
        <v>4009.1412776551088</v>
      </c>
      <c r="L103" s="1504">
        <f t="shared" si="31"/>
        <v>0.57999999999999996</v>
      </c>
      <c r="M103" s="1504">
        <f t="shared" si="32"/>
        <v>0.437</v>
      </c>
      <c r="N103" s="1504">
        <f t="shared" si="33"/>
        <v>0.71200000000000008</v>
      </c>
      <c r="O103" s="1504">
        <f t="shared" si="34"/>
        <v>0.8</v>
      </c>
      <c r="P103" s="1504">
        <f t="shared" si="35"/>
        <v>0.23600000000000002</v>
      </c>
      <c r="Q103" s="1508">
        <f t="shared" si="36"/>
        <v>0</v>
      </c>
      <c r="R103" s="1509">
        <f t="shared" si="37"/>
        <v>0</v>
      </c>
      <c r="S103" s="1509">
        <f t="shared" si="38"/>
        <v>0</v>
      </c>
      <c r="T103" s="1509">
        <f t="shared" si="39"/>
        <v>0</v>
      </c>
      <c r="U103" s="1511">
        <f t="shared" si="40"/>
        <v>0</v>
      </c>
      <c r="V103" s="1509">
        <f t="shared" si="10"/>
        <v>0</v>
      </c>
      <c r="W103" s="1454">
        <f>($W$107-$W$102)/($A$107-$A$102)+W102</f>
        <v>0.3</v>
      </c>
      <c r="X103" s="530">
        <f t="shared" si="41"/>
        <v>1820.0912821812424</v>
      </c>
      <c r="Y103" s="528">
        <f t="shared" si="79"/>
        <v>1820.0912821812424</v>
      </c>
      <c r="Z103" s="528">
        <f t="shared" si="80"/>
        <v>10281.973012302589</v>
      </c>
      <c r="AA103" s="530">
        <f t="shared" si="81"/>
        <v>2189.0499954738671</v>
      </c>
      <c r="AB103" s="1091">
        <f t="shared" si="42"/>
        <v>0.21290174491360991</v>
      </c>
      <c r="AC103" s="135" t="str">
        <f t="shared" si="43"/>
        <v>Yes</v>
      </c>
      <c r="AD103" s="1091">
        <f t="shared" si="44"/>
        <v>0.21290174491360991</v>
      </c>
      <c r="AE103" s="649">
        <f t="shared" si="11"/>
        <v>0.11889879957863858</v>
      </c>
      <c r="AF103" s="530">
        <f t="shared" si="45"/>
        <v>373.81875656843408</v>
      </c>
      <c r="AG103" s="527">
        <f t="shared" si="46"/>
        <v>8092.9230168287222</v>
      </c>
      <c r="AH103" s="528">
        <f t="shared" si="82"/>
        <v>7138.4126814801166</v>
      </c>
      <c r="AI103" s="528">
        <f t="shared" si="83"/>
        <v>5224.2662774937517</v>
      </c>
      <c r="AJ103" s="528">
        <f t="shared" si="12"/>
        <v>2489.7823118381648</v>
      </c>
      <c r="AK103" s="528">
        <f t="shared" si="47"/>
        <v>22945.384287640754</v>
      </c>
      <c r="AL103" s="716">
        <f t="shared" si="13"/>
        <v>0</v>
      </c>
      <c r="AM103" s="649">
        <f t="shared" si="48"/>
        <v>0.35270374709687796</v>
      </c>
      <c r="AN103" s="417">
        <f t="shared" si="49"/>
        <v>0.31110451635909769</v>
      </c>
      <c r="AO103" s="417">
        <f t="shared" si="50"/>
        <v>0.22768266645713742</v>
      </c>
      <c r="AP103" s="417">
        <f t="shared" si="51"/>
        <v>0.10850907008688693</v>
      </c>
      <c r="AQ103" s="525">
        <f t="shared" si="52"/>
        <v>1</v>
      </c>
      <c r="AR103" s="1086">
        <f t="shared" si="14"/>
        <v>1654.668547768908</v>
      </c>
      <c r="AS103" s="938">
        <f t="shared" si="15"/>
        <v>2098.5673669974376</v>
      </c>
      <c r="AT103" s="938">
        <f t="shared" si="16"/>
        <v>561.98854859790856</v>
      </c>
      <c r="AU103" s="938">
        <f t="shared" si="17"/>
        <v>0</v>
      </c>
      <c r="AV103" s="938">
        <f t="shared" si="18"/>
        <v>0</v>
      </c>
      <c r="AW103" s="938">
        <f t="shared" si="19"/>
        <v>0</v>
      </c>
      <c r="AX103" s="938">
        <f t="shared" si="20"/>
        <v>2392.0131287241989</v>
      </c>
      <c r="AY103" s="938">
        <f t="shared" si="21"/>
        <v>345.83056057740941</v>
      </c>
      <c r="AZ103" s="938">
        <f t="shared" si="22"/>
        <v>502.66293463358051</v>
      </c>
      <c r="BA103" s="938">
        <f t="shared" si="23"/>
        <v>441.88062230017499</v>
      </c>
      <c r="BB103" s="938">
        <f t="shared" si="24"/>
        <v>95.311307229101487</v>
      </c>
      <c r="BC103" s="530">
        <f t="shared" si="53"/>
        <v>8092.9230168287195</v>
      </c>
      <c r="BD103" s="724">
        <f t="shared" si="54"/>
        <v>0</v>
      </c>
      <c r="BE103" s="436">
        <f t="shared" si="55"/>
        <v>0.20445870352753015</v>
      </c>
      <c r="BF103" s="624">
        <f t="shared" si="56"/>
        <v>0.25930894963829509</v>
      </c>
      <c r="BG103" s="624">
        <f t="shared" si="57"/>
        <v>6.9441973861519388E-2</v>
      </c>
      <c r="BH103" s="624">
        <f t="shared" si="58"/>
        <v>0</v>
      </c>
      <c r="BI103" s="624">
        <f t="shared" si="59"/>
        <v>0</v>
      </c>
      <c r="BJ103" s="624">
        <f t="shared" si="60"/>
        <v>0</v>
      </c>
      <c r="BK103" s="624">
        <f t="shared" si="61"/>
        <v>0.46679037297265541</v>
      </c>
      <c r="BL103" s="624">
        <f t="shared" si="62"/>
        <v>1</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101.39731521582218</v>
      </c>
      <c r="BW103" s="114">
        <f t="shared" si="65"/>
        <v>0.43001822850288007</v>
      </c>
      <c r="BX103" s="1689">
        <f t="shared" si="25"/>
        <v>49.695564714711665</v>
      </c>
      <c r="BY103" s="527">
        <f t="shared" si="66"/>
        <v>101.39731521582218</v>
      </c>
      <c r="BZ103" s="417">
        <f t="shared" si="67"/>
        <v>0.43001822850288007</v>
      </c>
      <c r="CA103" s="544">
        <f t="shared" si="26"/>
        <v>49.695564714711665</v>
      </c>
      <c r="CB103" s="649">
        <f t="shared" si="27"/>
        <v>0.11889879957863858</v>
      </c>
      <c r="CC103" s="525">
        <f t="shared" si="68"/>
        <v>0.24370274005673687</v>
      </c>
      <c r="CD103" s="417">
        <f t="shared" si="28"/>
        <v>0.11889879957863858</v>
      </c>
      <c r="CE103" s="525">
        <f t="shared" si="69"/>
        <v>0.24370274005673687</v>
      </c>
      <c r="CG103" s="527">
        <f t="shared" si="70"/>
        <v>1347.7186055771954</v>
      </c>
      <c r="CH103" s="528">
        <f t="shared" si="71"/>
        <v>521.67090723751596</v>
      </c>
      <c r="CI103" s="528">
        <f t="shared" si="72"/>
        <v>2158.0297270465326</v>
      </c>
      <c r="CJ103" s="528">
        <f t="shared" si="73"/>
        <v>3069.4319035205908</v>
      </c>
      <c r="CK103" s="528">
        <f t="shared" si="74"/>
        <v>41.561538098281396</v>
      </c>
      <c r="CL103" s="528">
        <f t="shared" si="75"/>
        <v>7138.4126814801166</v>
      </c>
      <c r="CM103" s="646">
        <f t="shared" si="76"/>
        <v>0</v>
      </c>
    </row>
    <row r="104" spans="1:91">
      <c r="A104" s="873">
        <f>'Input data'!A124</f>
        <v>2024</v>
      </c>
      <c r="B104" s="1551">
        <f>'Input data'!B124</f>
        <v>62.087792487153699</v>
      </c>
      <c r="C104" s="1550">
        <f>'Input data'!C124</f>
        <v>4591.0468432418256</v>
      </c>
      <c r="D104" s="1552">
        <f>'Input data'!D124</f>
        <v>49925010.483280979</v>
      </c>
      <c r="E104" s="1454">
        <f t="shared" si="29"/>
        <v>0.7752969696969696</v>
      </c>
      <c r="F104" s="1504">
        <f t="shared" si="30"/>
        <v>0.30607121212121208</v>
      </c>
      <c r="G104" s="1509">
        <f>B104*F104*'Input data'!$C$9</f>
        <v>581.63529038075126</v>
      </c>
      <c r="H104" s="1508">
        <f>'Input data'!I124</f>
        <v>424.26313389388866</v>
      </c>
      <c r="I104" s="1509">
        <f>'Input data'!K124</f>
        <v>26341.561417153265</v>
      </c>
      <c r="J104" s="1509">
        <f t="shared" si="77"/>
        <v>7672.7183375332434</v>
      </c>
      <c r="K104" s="1511">
        <f t="shared" si="78"/>
        <v>4568.691205047603</v>
      </c>
      <c r="L104" s="1504">
        <f t="shared" si="31"/>
        <v>0.57999999999999996</v>
      </c>
      <c r="M104" s="1504">
        <f t="shared" si="32"/>
        <v>0.437</v>
      </c>
      <c r="N104" s="1504">
        <f t="shared" si="33"/>
        <v>0.71200000000000008</v>
      </c>
      <c r="O104" s="1504">
        <f t="shared" si="34"/>
        <v>0.8</v>
      </c>
      <c r="P104" s="1504">
        <f t="shared" si="35"/>
        <v>0.23600000000000002</v>
      </c>
      <c r="Q104" s="1508">
        <f t="shared" si="36"/>
        <v>0</v>
      </c>
      <c r="R104" s="1509">
        <f t="shared" si="37"/>
        <v>0</v>
      </c>
      <c r="S104" s="1509">
        <f t="shared" si="38"/>
        <v>0</v>
      </c>
      <c r="T104" s="1509">
        <f t="shared" si="39"/>
        <v>0</v>
      </c>
      <c r="U104" s="1511">
        <f t="shared" si="40"/>
        <v>0</v>
      </c>
      <c r="V104" s="1509">
        <f t="shared" si="10"/>
        <v>0</v>
      </c>
      <c r="W104" s="1454">
        <f>($W$107-$W$102)/($A$107-$A$102)+W103</f>
        <v>0.35</v>
      </c>
      <c r="X104" s="530">
        <f t="shared" si="41"/>
        <v>2123.4398292114493</v>
      </c>
      <c r="Y104" s="528">
        <f t="shared" si="79"/>
        <v>2123.4398292114493</v>
      </c>
      <c r="Z104" s="528">
        <f t="shared" si="80"/>
        <v>10117.969713369397</v>
      </c>
      <c r="AA104" s="530">
        <f t="shared" si="81"/>
        <v>2445.2513758361538</v>
      </c>
      <c r="AB104" s="1091">
        <f t="shared" si="42"/>
        <v>0.24167411497635899</v>
      </c>
      <c r="AC104" s="135" t="str">
        <f t="shared" si="43"/>
        <v>Yes</v>
      </c>
      <c r="AD104" s="1091">
        <f t="shared" si="44"/>
        <v>0.24167411497635899</v>
      </c>
      <c r="AE104" s="649">
        <f t="shared" si="11"/>
        <v>0.13265100107403016</v>
      </c>
      <c r="AF104" s="530">
        <f t="shared" si="45"/>
        <v>367.98420446405902</v>
      </c>
      <c r="AG104" s="527">
        <f t="shared" si="46"/>
        <v>7672.7183375332434</v>
      </c>
      <c r="AH104" s="528">
        <f t="shared" si="82"/>
        <v>7220.6055918725297</v>
      </c>
      <c r="AI104" s="528">
        <f t="shared" si="83"/>
        <v>5527.6148245239583</v>
      </c>
      <c r="AJ104" s="528">
        <f t="shared" si="12"/>
        <v>2426.3881713851051</v>
      </c>
      <c r="AK104" s="528">
        <f t="shared" si="47"/>
        <v>22847.326925314836</v>
      </c>
      <c r="AL104" s="716">
        <f t="shared" si="13"/>
        <v>0</v>
      </c>
      <c r="AM104" s="649">
        <f t="shared" si="48"/>
        <v>0.33582564658939912</v>
      </c>
      <c r="AN104" s="417">
        <f t="shared" si="49"/>
        <v>0.31603721588419603</v>
      </c>
      <c r="AO104" s="417">
        <f t="shared" si="50"/>
        <v>0.24193704771648195</v>
      </c>
      <c r="AP104" s="417">
        <f t="shared" si="51"/>
        <v>0.1062000898099229</v>
      </c>
      <c r="AQ104" s="525">
        <f t="shared" si="52"/>
        <v>1</v>
      </c>
      <c r="AR104" s="1086">
        <f t="shared" si="14"/>
        <v>1518.1289349783247</v>
      </c>
      <c r="AS104" s="938">
        <f t="shared" si="15"/>
        <v>1925.3981990144357</v>
      </c>
      <c r="AT104" s="938">
        <f t="shared" si="16"/>
        <v>547.67935344721923</v>
      </c>
      <c r="AU104" s="938">
        <f t="shared" si="17"/>
        <v>0</v>
      </c>
      <c r="AV104" s="938">
        <f t="shared" si="18"/>
        <v>0</v>
      </c>
      <c r="AW104" s="938">
        <f t="shared" si="19"/>
        <v>0</v>
      </c>
      <c r="AX104" s="938">
        <f t="shared" si="20"/>
        <v>2331.1083598506698</v>
      </c>
      <c r="AY104" s="938">
        <f t="shared" si="21"/>
        <v>337.02511962541757</v>
      </c>
      <c r="AZ104" s="938">
        <f t="shared" si="22"/>
        <v>489.8642716632495</v>
      </c>
      <c r="BA104" s="938">
        <f t="shared" si="23"/>
        <v>430.62958155641559</v>
      </c>
      <c r="BB104" s="938">
        <f t="shared" si="24"/>
        <v>92.884517397509526</v>
      </c>
      <c r="BC104" s="530">
        <f t="shared" si="53"/>
        <v>7672.7183375332406</v>
      </c>
      <c r="BD104" s="724">
        <f t="shared" si="54"/>
        <v>0</v>
      </c>
      <c r="BE104" s="436">
        <f t="shared" si="55"/>
        <v>0.19786063663408232</v>
      </c>
      <c r="BF104" s="624">
        <f t="shared" si="56"/>
        <v>0.25094081579872596</v>
      </c>
      <c r="BG104" s="624">
        <f t="shared" si="57"/>
        <v>7.1380093645311199E-2</v>
      </c>
      <c r="BH104" s="624">
        <f t="shared" si="58"/>
        <v>0</v>
      </c>
      <c r="BI104" s="624">
        <f t="shared" si="59"/>
        <v>0</v>
      </c>
      <c r="BJ104" s="624">
        <f t="shared" si="60"/>
        <v>0</v>
      </c>
      <c r="BK104" s="624">
        <f t="shared" si="61"/>
        <v>0.47981845392188066</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99.831483745770683</v>
      </c>
      <c r="BW104" s="114">
        <f t="shared" si="65"/>
        <v>0.45113726754885164</v>
      </c>
      <c r="BX104" s="1689">
        <f t="shared" si="25"/>
        <v>49.925010483280978</v>
      </c>
      <c r="BY104" s="527">
        <f t="shared" si="66"/>
        <v>99.831483745770683</v>
      </c>
      <c r="BZ104" s="417">
        <f t="shared" si="67"/>
        <v>0.45113726754885164</v>
      </c>
      <c r="CA104" s="544">
        <f t="shared" si="26"/>
        <v>49.925010483280978</v>
      </c>
      <c r="CB104" s="649">
        <f t="shared" si="27"/>
        <v>0.13265100107403016</v>
      </c>
      <c r="CC104" s="525">
        <f t="shared" si="68"/>
        <v>0.26793381230323288</v>
      </c>
      <c r="CD104" s="417">
        <f t="shared" si="28"/>
        <v>0.13265100107403016</v>
      </c>
      <c r="CE104" s="525">
        <f t="shared" si="69"/>
        <v>0.26793381230323288</v>
      </c>
      <c r="CG104" s="527">
        <f t="shared" si="70"/>
        <v>1363.2364692151139</v>
      </c>
      <c r="CH104" s="528">
        <f t="shared" si="71"/>
        <v>527.67751571563645</v>
      </c>
      <c r="CI104" s="528">
        <f t="shared" si="72"/>
        <v>2182.8776521937411</v>
      </c>
      <c r="CJ104" s="528">
        <f t="shared" si="73"/>
        <v>3104.7738699575007</v>
      </c>
      <c r="CK104" s="528">
        <f t="shared" si="74"/>
        <v>42.040084790537726</v>
      </c>
      <c r="CL104" s="528">
        <f t="shared" si="75"/>
        <v>7220.6055918725297</v>
      </c>
      <c r="CM104" s="646">
        <f t="shared" si="76"/>
        <v>0</v>
      </c>
    </row>
    <row r="105" spans="1:91">
      <c r="A105" s="873">
        <f>'Input data'!A125</f>
        <v>2025</v>
      </c>
      <c r="B105" s="1551">
        <f>'Input data'!B125</f>
        <v>62.802682000000026</v>
      </c>
      <c r="C105" s="1550">
        <f>'Input data'!C125</f>
        <v>4678.7390647078637</v>
      </c>
      <c r="D105" s="1552">
        <f>'Input data'!D125</f>
        <v>50358140.956147172</v>
      </c>
      <c r="E105" s="1454">
        <f t="shared" si="29"/>
        <v>0.78393939393939382</v>
      </c>
      <c r="F105" s="1504">
        <f t="shared" si="30"/>
        <v>0.30842424242424238</v>
      </c>
      <c r="G105" s="1509">
        <f>B105*F105*'Input data'!$C$9</f>
        <v>592.85535125722038</v>
      </c>
      <c r="H105" s="1508">
        <f>'Input data'!I125</f>
        <v>424.26313389388866</v>
      </c>
      <c r="I105" s="1509">
        <f>'Input data'!K125</f>
        <v>26644.862682261322</v>
      </c>
      <c r="J105" s="1509">
        <f t="shared" si="77"/>
        <v>7274.3317296730966</v>
      </c>
      <c r="K105" s="1511">
        <f t="shared" si="78"/>
        <v>5108.0275061386474</v>
      </c>
      <c r="L105" s="1504">
        <f t="shared" si="31"/>
        <v>0.57999999999999996</v>
      </c>
      <c r="M105" s="1504">
        <f t="shared" si="32"/>
        <v>0.437</v>
      </c>
      <c r="N105" s="1504">
        <f t="shared" si="33"/>
        <v>0.71200000000000008</v>
      </c>
      <c r="O105" s="1504">
        <f t="shared" si="34"/>
        <v>0.8</v>
      </c>
      <c r="P105" s="1504">
        <f t="shared" si="35"/>
        <v>0.23600000000000002</v>
      </c>
      <c r="Q105" s="1508">
        <f t="shared" si="36"/>
        <v>0</v>
      </c>
      <c r="R105" s="1509">
        <f t="shared" si="37"/>
        <v>0</v>
      </c>
      <c r="S105" s="1509">
        <f t="shared" si="38"/>
        <v>0</v>
      </c>
      <c r="T105" s="1509">
        <f t="shared" si="39"/>
        <v>0</v>
      </c>
      <c r="U105" s="1511">
        <f t="shared" si="40"/>
        <v>0</v>
      </c>
      <c r="V105" s="1509">
        <f t="shared" si="10"/>
        <v>0</v>
      </c>
      <c r="W105" s="1454">
        <f>($W$107-$W$102)/($A$107-$A$102)+W104</f>
        <v>0.39999999999999997</v>
      </c>
      <c r="X105" s="530">
        <f t="shared" si="41"/>
        <v>2426.7883762416564</v>
      </c>
      <c r="Y105" s="528">
        <f t="shared" si="79"/>
        <v>2426.7883762416564</v>
      </c>
      <c r="Z105" s="528">
        <f t="shared" si="80"/>
        <v>9955.5708595700871</v>
      </c>
      <c r="AA105" s="530">
        <f t="shared" si="81"/>
        <v>2681.2391298969906</v>
      </c>
      <c r="AB105" s="1091">
        <f t="shared" si="42"/>
        <v>0.26932048073562453</v>
      </c>
      <c r="AC105" s="135" t="str">
        <f t="shared" si="43"/>
        <v>Yes</v>
      </c>
      <c r="AD105" s="1091">
        <f t="shared" si="44"/>
        <v>0.26932048073562453</v>
      </c>
      <c r="AE105" s="649">
        <f t="shared" si="11"/>
        <v>0.14528032436176563</v>
      </c>
      <c r="AF105" s="530">
        <f t="shared" si="45"/>
        <v>362.62604818704528</v>
      </c>
      <c r="AG105" s="527">
        <f t="shared" si="46"/>
        <v>7274.3317296730966</v>
      </c>
      <c r="AH105" s="528">
        <f t="shared" si="82"/>
        <v>7303.7448855605326</v>
      </c>
      <c r="AI105" s="528">
        <f t="shared" si="83"/>
        <v>5830.9633715541659</v>
      </c>
      <c r="AJ105" s="528">
        <f t="shared" si="12"/>
        <v>2364.8484024198983</v>
      </c>
      <c r="AK105" s="528">
        <f t="shared" si="47"/>
        <v>22773.888389207692</v>
      </c>
      <c r="AL105" s="716">
        <f t="shared" si="13"/>
        <v>0</v>
      </c>
      <c r="AM105" s="649">
        <f t="shared" si="48"/>
        <v>0.31941544655678239</v>
      </c>
      <c r="AN105" s="417">
        <f t="shared" si="49"/>
        <v>0.32070697637306861</v>
      </c>
      <c r="AO105" s="417">
        <f t="shared" si="50"/>
        <v>0.2560372331638105</v>
      </c>
      <c r="AP105" s="417">
        <f t="shared" si="51"/>
        <v>0.1038403439063386</v>
      </c>
      <c r="AQ105" s="525">
        <f t="shared" si="52"/>
        <v>1.0000000000000002</v>
      </c>
      <c r="AR105" s="1086">
        <f t="shared" si="14"/>
        <v>1389.7831880492163</v>
      </c>
      <c r="AS105" s="938">
        <f t="shared" si="15"/>
        <v>1762.6210696845108</v>
      </c>
      <c r="AT105" s="938">
        <f t="shared" si="16"/>
        <v>533.78872321928009</v>
      </c>
      <c r="AU105" s="938">
        <f t="shared" si="17"/>
        <v>0</v>
      </c>
      <c r="AV105" s="938">
        <f t="shared" si="18"/>
        <v>0</v>
      </c>
      <c r="AW105" s="938">
        <f t="shared" si="19"/>
        <v>0</v>
      </c>
      <c r="AX105" s="938">
        <f t="shared" si="20"/>
        <v>2271.9851446990806</v>
      </c>
      <c r="AY105" s="938">
        <f t="shared" si="21"/>
        <v>328.47725072224051</v>
      </c>
      <c r="AZ105" s="938">
        <f t="shared" si="22"/>
        <v>477.43998833629246</v>
      </c>
      <c r="BA105" s="938">
        <f t="shared" si="23"/>
        <v>419.70765023846087</v>
      </c>
      <c r="BB105" s="938">
        <f t="shared" si="24"/>
        <v>90.528714724013781</v>
      </c>
      <c r="BC105" s="530">
        <f t="shared" si="53"/>
        <v>7274.3317296730957</v>
      </c>
      <c r="BD105" s="724">
        <f t="shared" si="54"/>
        <v>0</v>
      </c>
      <c r="BE105" s="436">
        <f t="shared" si="55"/>
        <v>0.19105303960501019</v>
      </c>
      <c r="BF105" s="624">
        <f t="shared" si="56"/>
        <v>0.24230694106161171</v>
      </c>
      <c r="BG105" s="624">
        <f t="shared" si="57"/>
        <v>7.33797609259247E-2</v>
      </c>
      <c r="BH105" s="624">
        <f t="shared" si="58"/>
        <v>0</v>
      </c>
      <c r="BI105" s="624">
        <f t="shared" si="59"/>
        <v>0</v>
      </c>
      <c r="BJ105" s="624">
        <f t="shared" si="60"/>
        <v>0</v>
      </c>
      <c r="BK105" s="624">
        <f t="shared" si="61"/>
        <v>0.49326025840745336</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98.441274251518365</v>
      </c>
      <c r="BW105" s="114">
        <f t="shared" si="65"/>
        <v>0.47228688329680357</v>
      </c>
      <c r="BX105" s="1689">
        <f t="shared" si="25"/>
        <v>50.358140956147174</v>
      </c>
      <c r="BY105" s="527">
        <f t="shared" si="66"/>
        <v>98.441274251518365</v>
      </c>
      <c r="BZ105" s="417">
        <f t="shared" si="67"/>
        <v>0.47228688329680357</v>
      </c>
      <c r="CA105" s="544">
        <f t="shared" si="26"/>
        <v>50.358140956147174</v>
      </c>
      <c r="CB105" s="649">
        <f t="shared" si="27"/>
        <v>0.14528032436176563</v>
      </c>
      <c r="CC105" s="525">
        <f t="shared" si="68"/>
        <v>0.29049585113309173</v>
      </c>
      <c r="CD105" s="417">
        <f t="shared" si="28"/>
        <v>0.14528032436176563</v>
      </c>
      <c r="CE105" s="525">
        <f t="shared" si="69"/>
        <v>0.29049585113309173</v>
      </c>
      <c r="CG105" s="527">
        <f t="shared" si="70"/>
        <v>1378.9330082017941</v>
      </c>
      <c r="CH105" s="528">
        <f t="shared" si="71"/>
        <v>533.75328531604487</v>
      </c>
      <c r="CI105" s="528">
        <f t="shared" si="72"/>
        <v>2208.0116806213546</v>
      </c>
      <c r="CJ105" s="528">
        <f t="shared" si="73"/>
        <v>3140.5227698696881</v>
      </c>
      <c r="CK105" s="528">
        <f t="shared" si="74"/>
        <v>42.524141551649727</v>
      </c>
      <c r="CL105" s="528">
        <f t="shared" si="75"/>
        <v>7303.7448855605307</v>
      </c>
      <c r="CM105" s="646">
        <f t="shared" si="76"/>
        <v>0</v>
      </c>
    </row>
    <row r="106" spans="1:91">
      <c r="A106" s="873">
        <f>'Input data'!A126</f>
        <v>2026</v>
      </c>
      <c r="B106" s="1551">
        <f>'Input data'!B126</f>
        <v>63.421065342005143</v>
      </c>
      <c r="C106" s="1550">
        <f>'Input data'!C126</f>
        <v>4759.3318943865906</v>
      </c>
      <c r="D106" s="1552">
        <f>'Input data'!D126</f>
        <v>48568999.176537097</v>
      </c>
      <c r="E106" s="1454">
        <f t="shared" si="29"/>
        <v>0.79258181818181805</v>
      </c>
      <c r="F106" s="1504">
        <f t="shared" si="30"/>
        <v>0.31077727272727268</v>
      </c>
      <c r="G106" s="1509">
        <f>B106*F106*'Input data'!$C$9</f>
        <v>603.26041842938696</v>
      </c>
      <c r="H106" s="1508">
        <f>'Input data'!I126</f>
        <v>424.26313389388866</v>
      </c>
      <c r="I106" s="1509">
        <f>'Input data'!K126</f>
        <v>26907.219936888188</v>
      </c>
      <c r="J106" s="1509">
        <f t="shared" si="77"/>
        <v>6896.6303447470355</v>
      </c>
      <c r="K106" s="1511">
        <f t="shared" si="78"/>
        <v>5607.6511472853772</v>
      </c>
      <c r="L106" s="1504">
        <f t="shared" si="31"/>
        <v>0.57999999999999996</v>
      </c>
      <c r="M106" s="1504">
        <f t="shared" si="32"/>
        <v>0.437</v>
      </c>
      <c r="N106" s="1504">
        <f t="shared" si="33"/>
        <v>0.71200000000000008</v>
      </c>
      <c r="O106" s="1504">
        <f t="shared" si="34"/>
        <v>0.8</v>
      </c>
      <c r="P106" s="1504">
        <f t="shared" si="35"/>
        <v>0.23600000000000002</v>
      </c>
      <c r="Q106" s="1508">
        <f t="shared" si="36"/>
        <v>0</v>
      </c>
      <c r="R106" s="1509">
        <f t="shared" si="37"/>
        <v>0</v>
      </c>
      <c r="S106" s="1509">
        <f t="shared" si="38"/>
        <v>0</v>
      </c>
      <c r="T106" s="1509">
        <f t="shared" si="39"/>
        <v>0</v>
      </c>
      <c r="U106" s="1511">
        <f t="shared" si="40"/>
        <v>0</v>
      </c>
      <c r="V106" s="1509">
        <f t="shared" si="10"/>
        <v>0</v>
      </c>
      <c r="W106" s="1454">
        <f>($W$107-$W$102)/($A$107-$A$102)+W105</f>
        <v>0.44999999999999996</v>
      </c>
      <c r="X106" s="530">
        <f t="shared" si="41"/>
        <v>2730.1369232718635</v>
      </c>
      <c r="Y106" s="528">
        <f t="shared" si="79"/>
        <v>2730.1369232718635</v>
      </c>
      <c r="Z106" s="528">
        <f t="shared" si="80"/>
        <v>9774.1445687605483</v>
      </c>
      <c r="AA106" s="530">
        <f t="shared" si="81"/>
        <v>2877.5142240135128</v>
      </c>
      <c r="AB106" s="1091">
        <f t="shared" si="42"/>
        <v>0.29440062030701147</v>
      </c>
      <c r="AC106" s="135" t="str">
        <f t="shared" si="43"/>
        <v>Yes</v>
      </c>
      <c r="AD106" s="1091">
        <f t="shared" si="44"/>
        <v>0.29440062030701147</v>
      </c>
      <c r="AE106" s="649">
        <f t="shared" si="11"/>
        <v>0.15588583154405877</v>
      </c>
      <c r="AF106" s="530">
        <f t="shared" si="45"/>
        <v>358.12652247335149</v>
      </c>
      <c r="AG106" s="527">
        <f t="shared" si="46"/>
        <v>6896.6303447470355</v>
      </c>
      <c r="AH106" s="528">
        <f t="shared" si="82"/>
        <v>7375.6608297153634</v>
      </c>
      <c r="AI106" s="528">
        <f t="shared" si="83"/>
        <v>6134.3119185843725</v>
      </c>
      <c r="AJ106" s="528">
        <f t="shared" si="12"/>
        <v>2306.1624894407255</v>
      </c>
      <c r="AK106" s="528">
        <f t="shared" si="47"/>
        <v>22712.765582487496</v>
      </c>
      <c r="AL106" s="716">
        <f t="shared" si="13"/>
        <v>0</v>
      </c>
      <c r="AM106" s="649">
        <f t="shared" si="48"/>
        <v>0.30364555649113156</v>
      </c>
      <c r="AN106" s="417">
        <f t="shared" si="49"/>
        <v>0.32473636039295495</v>
      </c>
      <c r="AO106" s="417">
        <f t="shared" si="50"/>
        <v>0.27008212171723317</v>
      </c>
      <c r="AP106" s="417">
        <f t="shared" si="51"/>
        <v>0.10153596139868032</v>
      </c>
      <c r="AQ106" s="525">
        <f t="shared" si="52"/>
        <v>1</v>
      </c>
      <c r="AR106" s="1086">
        <f t="shared" si="14"/>
        <v>1268.3638441533146</v>
      </c>
      <c r="AS106" s="938">
        <f t="shared" si="15"/>
        <v>1608.6284932463166</v>
      </c>
      <c r="AT106" s="938">
        <f t="shared" si="16"/>
        <v>520.54225950175169</v>
      </c>
      <c r="AU106" s="938">
        <f t="shared" si="17"/>
        <v>0</v>
      </c>
      <c r="AV106" s="938">
        <f t="shared" si="18"/>
        <v>0</v>
      </c>
      <c r="AW106" s="938">
        <f t="shared" si="19"/>
        <v>0</v>
      </c>
      <c r="AX106" s="938">
        <f t="shared" si="20"/>
        <v>2215.6037198452309</v>
      </c>
      <c r="AY106" s="938">
        <f t="shared" si="21"/>
        <v>320.32578218337028</v>
      </c>
      <c r="AZ106" s="938">
        <f t="shared" si="22"/>
        <v>465.59187089264998</v>
      </c>
      <c r="BA106" s="938">
        <f t="shared" si="23"/>
        <v>409.29221446956205</v>
      </c>
      <c r="BB106" s="938">
        <f t="shared" si="24"/>
        <v>88.282160454838049</v>
      </c>
      <c r="BC106" s="530">
        <f t="shared" si="53"/>
        <v>6896.6303447470345</v>
      </c>
      <c r="BD106" s="724">
        <f t="shared" si="54"/>
        <v>0</v>
      </c>
      <c r="BE106" s="436">
        <f t="shared" si="55"/>
        <v>0.18391066082284532</v>
      </c>
      <c r="BF106" s="624">
        <f t="shared" si="56"/>
        <v>0.23324847249085384</v>
      </c>
      <c r="BG106" s="624">
        <f t="shared" si="57"/>
        <v>7.5477767182089692E-2</v>
      </c>
      <c r="BH106" s="624">
        <f t="shared" si="58"/>
        <v>0</v>
      </c>
      <c r="BI106" s="624">
        <f t="shared" si="59"/>
        <v>0</v>
      </c>
      <c r="BJ106" s="624">
        <f t="shared" si="60"/>
        <v>0</v>
      </c>
      <c r="BK106" s="624">
        <f t="shared" si="61"/>
        <v>0.5073630995042111</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96.907374831151913</v>
      </c>
      <c r="BW106" s="114">
        <f t="shared" si="65"/>
        <v>0.49176785130335549</v>
      </c>
      <c r="BX106" s="1689">
        <f t="shared" si="25"/>
        <v>48.568999176537098</v>
      </c>
      <c r="BY106" s="527">
        <f t="shared" si="66"/>
        <v>96.907374831151913</v>
      </c>
      <c r="BZ106" s="417">
        <f t="shared" si="67"/>
        <v>0.49176785130335549</v>
      </c>
      <c r="CA106" s="544">
        <f t="shared" si="26"/>
        <v>48.568999176537098</v>
      </c>
      <c r="CB106" s="649">
        <f t="shared" si="27"/>
        <v>0.15588583154405877</v>
      </c>
      <c r="CC106" s="525">
        <f t="shared" si="68"/>
        <v>0.29891813504806297</v>
      </c>
      <c r="CD106" s="417">
        <f t="shared" si="28"/>
        <v>0.15588583154405877</v>
      </c>
      <c r="CE106" s="525">
        <f t="shared" si="69"/>
        <v>0.29891813504806297</v>
      </c>
      <c r="CG106" s="527">
        <f t="shared" si="70"/>
        <v>1392.5106003500562</v>
      </c>
      <c r="CH106" s="528">
        <f t="shared" si="71"/>
        <v>539.00885927990748</v>
      </c>
      <c r="CI106" s="528">
        <f t="shared" si="72"/>
        <v>2229.752752798001</v>
      </c>
      <c r="CJ106" s="528">
        <f t="shared" si="73"/>
        <v>3171.4457639876014</v>
      </c>
      <c r="CK106" s="528">
        <f t="shared" si="74"/>
        <v>42.942853299797797</v>
      </c>
      <c r="CL106" s="528">
        <f t="shared" si="75"/>
        <v>7375.6608297153643</v>
      </c>
      <c r="CM106" s="646">
        <f t="shared" si="76"/>
        <v>0</v>
      </c>
    </row>
    <row r="107" spans="1:91" s="1" customFormat="1">
      <c r="A107" s="873">
        <f>'Input data'!A127</f>
        <v>2027</v>
      </c>
      <c r="B107" s="1551">
        <f>'Input data'!B127</f>
        <v>64.045537563425796</v>
      </c>
      <c r="C107" s="1550">
        <f>'Input data'!C127</f>
        <v>4833.4252769493587</v>
      </c>
      <c r="D107" s="1552">
        <f>'Input data'!D127</f>
        <v>48190122.249078177</v>
      </c>
      <c r="E107" s="1454">
        <f t="shared" si="29"/>
        <v>0.80122424242424228</v>
      </c>
      <c r="F107" s="1504">
        <f t="shared" si="30"/>
        <v>0.31313030303030298</v>
      </c>
      <c r="G107" s="1509">
        <f>B107*F107*'Input data'!$C$9</f>
        <v>613.81291267606582</v>
      </c>
      <c r="H107" s="1508">
        <f>'Input data'!I127</f>
        <v>424.26313389388866</v>
      </c>
      <c r="I107" s="1509">
        <f>'Input data'!K127</f>
        <v>27172.160478577796</v>
      </c>
      <c r="J107" s="1509">
        <f t="shared" si="77"/>
        <v>6538.5401545638715</v>
      </c>
      <c r="K107" s="1511">
        <f t="shared" si="78"/>
        <v>6088.8640948440307</v>
      </c>
      <c r="L107" s="1504">
        <f>($L$110-$L$97)/($A$110-$A$97)*L106+L106</f>
        <v>0.57999999999999996</v>
      </c>
      <c r="M107" s="1504">
        <f>($M$110-$M$97)/($A$110-$A$97)*M106+M106</f>
        <v>0.437</v>
      </c>
      <c r="N107" s="1504">
        <f>($N$110-$N$97)/($A$110-$A$97)*N106+N106</f>
        <v>0.71200000000000008</v>
      </c>
      <c r="O107" s="1504">
        <f>($L$110-$L$97)/($A$110-$A$97)*O106+O106</f>
        <v>0.8</v>
      </c>
      <c r="P107" s="1504">
        <f t="shared" si="35"/>
        <v>0.23600000000000002</v>
      </c>
      <c r="Q107" s="1508">
        <f t="shared" si="36"/>
        <v>0</v>
      </c>
      <c r="R107" s="1509">
        <f t="shared" si="37"/>
        <v>0</v>
      </c>
      <c r="S107" s="1509">
        <f t="shared" si="38"/>
        <v>0</v>
      </c>
      <c r="T107" s="1509">
        <f t="shared" si="39"/>
        <v>0</v>
      </c>
      <c r="U107" s="1511">
        <f t="shared" si="40"/>
        <v>0</v>
      </c>
      <c r="V107" s="1509">
        <f t="shared" si="10"/>
        <v>0</v>
      </c>
      <c r="W107" s="1454">
        <f>$C$27</f>
        <v>0.5</v>
      </c>
      <c r="X107" s="530">
        <f t="shared" si="41"/>
        <v>3033.4854703020706</v>
      </c>
      <c r="Y107" s="528">
        <f t="shared" si="79"/>
        <v>3033.4854703020706</v>
      </c>
      <c r="Z107" s="528">
        <f t="shared" si="80"/>
        <v>9593.9187791058321</v>
      </c>
      <c r="AA107" s="530">
        <f t="shared" si="81"/>
        <v>3055.3786245419606</v>
      </c>
      <c r="AB107" s="1091">
        <f t="shared" si="42"/>
        <v>0.31847034511029354</v>
      </c>
      <c r="AC107" s="135" t="str">
        <f t="shared" si="43"/>
        <v>Yes</v>
      </c>
      <c r="AD107" s="1091">
        <f t="shared" si="44"/>
        <v>0.31847034511029354</v>
      </c>
      <c r="AE107" s="649">
        <f t="shared" si="11"/>
        <v>0.16554621920854717</v>
      </c>
      <c r="AF107" s="530">
        <f t="shared" si="45"/>
        <v>354.0279761281858</v>
      </c>
      <c r="AG107" s="527">
        <f t="shared" si="46"/>
        <v>6538.5401545638715</v>
      </c>
      <c r="AH107" s="528">
        <f t="shared" si="82"/>
        <v>7448.2848904740404</v>
      </c>
      <c r="AI107" s="528">
        <f t="shared" si="83"/>
        <v>6437.6604656145792</v>
      </c>
      <c r="AJ107" s="528">
        <f t="shared" si="12"/>
        <v>2249.4265329688442</v>
      </c>
      <c r="AK107" s="528">
        <f t="shared" si="47"/>
        <v>22673.912043621334</v>
      </c>
      <c r="AL107" s="716">
        <f t="shared" si="13"/>
        <v>0</v>
      </c>
      <c r="AM107" s="649">
        <f t="shared" si="48"/>
        <v>0.28837282873747871</v>
      </c>
      <c r="AN107" s="417">
        <f t="shared" si="49"/>
        <v>0.32849580064280992</v>
      </c>
      <c r="AO107" s="417">
        <f t="shared" si="50"/>
        <v>0.2839236763920337</v>
      </c>
      <c r="AP107" s="417">
        <f t="shared" si="51"/>
        <v>9.9207694227677709E-2</v>
      </c>
      <c r="AQ107" s="525">
        <f t="shared" si="52"/>
        <v>1</v>
      </c>
      <c r="AR107" s="1086">
        <f t="shared" si="14"/>
        <v>1154.0919824490891</v>
      </c>
      <c r="AS107" s="938">
        <f t="shared" si="15"/>
        <v>1463.7008578828006</v>
      </c>
      <c r="AT107" s="938">
        <f t="shared" si="16"/>
        <v>507.73593596119815</v>
      </c>
      <c r="AU107" s="938">
        <f t="shared" si="17"/>
        <v>0</v>
      </c>
      <c r="AV107" s="938">
        <f t="shared" si="18"/>
        <v>0</v>
      </c>
      <c r="AW107" s="938">
        <f t="shared" si="19"/>
        <v>0</v>
      </c>
      <c r="AX107" s="938">
        <f t="shared" si="20"/>
        <v>2161.0956802844271</v>
      </c>
      <c r="AY107" s="938">
        <f t="shared" si="21"/>
        <v>312.44516244473925</v>
      </c>
      <c r="AZ107" s="938">
        <f t="shared" si="22"/>
        <v>454.13743078204311</v>
      </c>
      <c r="BA107" s="938">
        <f t="shared" si="23"/>
        <v>399.22285232758378</v>
      </c>
      <c r="BB107" s="938">
        <f t="shared" si="24"/>
        <v>86.110252431989224</v>
      </c>
      <c r="BC107" s="530">
        <f t="shared" si="53"/>
        <v>6538.5401545638706</v>
      </c>
      <c r="BD107" s="724">
        <f t="shared" si="54"/>
        <v>0</v>
      </c>
      <c r="BE107" s="436">
        <f t="shared" si="55"/>
        <v>0.17650606330581883</v>
      </c>
      <c r="BF107" s="624">
        <f t="shared" si="56"/>
        <v>0.22385743962452295</v>
      </c>
      <c r="BG107" s="624">
        <f t="shared" si="57"/>
        <v>7.7652797713079855E-2</v>
      </c>
      <c r="BH107" s="624">
        <f t="shared" si="58"/>
        <v>0</v>
      </c>
      <c r="BI107" s="624">
        <f t="shared" si="59"/>
        <v>0</v>
      </c>
      <c r="BJ107" s="624">
        <f t="shared" si="60"/>
        <v>0</v>
      </c>
      <c r="BK107" s="624">
        <f t="shared" si="61"/>
        <v>0.52198369935657829</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96.399561680965945</v>
      </c>
      <c r="BW107" s="114">
        <f t="shared" si="65"/>
        <v>0.5084457193235622</v>
      </c>
      <c r="BX107" s="1689">
        <f t="shared" si="25"/>
        <v>48.190122249078179</v>
      </c>
      <c r="BY107" s="527">
        <f t="shared" si="66"/>
        <v>96.399561680965945</v>
      </c>
      <c r="BZ107" s="417">
        <f t="shared" si="67"/>
        <v>0.5084457193235622</v>
      </c>
      <c r="CA107" s="544">
        <f t="shared" si="26"/>
        <v>48.190122249078179</v>
      </c>
      <c r="CB107" s="649">
        <f t="shared" si="27"/>
        <v>0.16554621920854717</v>
      </c>
      <c r="CC107" s="525">
        <f t="shared" si="68"/>
        <v>0.30670715972377605</v>
      </c>
      <c r="CD107" s="417">
        <f t="shared" si="28"/>
        <v>0.16554621920854717</v>
      </c>
      <c r="CE107" s="525">
        <f t="shared" si="69"/>
        <v>0.30670715972377605</v>
      </c>
      <c r="CG107" s="527">
        <f t="shared" si="70"/>
        <v>1406.221883553249</v>
      </c>
      <c r="CH107" s="528">
        <f t="shared" si="71"/>
        <v>544.31618197946807</v>
      </c>
      <c r="CI107" s="528">
        <f t="shared" si="72"/>
        <v>2251.7078973111029</v>
      </c>
      <c r="CJ107" s="528">
        <f t="shared" si="73"/>
        <v>3202.6732397588221</v>
      </c>
      <c r="CK107" s="528">
        <f t="shared" si="74"/>
        <v>43.365687871397228</v>
      </c>
      <c r="CL107" s="528">
        <f t="shared" si="75"/>
        <v>7448.2848904740395</v>
      </c>
      <c r="CM107" s="646">
        <f t="shared" si="76"/>
        <v>0</v>
      </c>
    </row>
    <row r="108" spans="1:91">
      <c r="A108" s="873">
        <f>'Input data'!A128</f>
        <v>2028</v>
      </c>
      <c r="B108" s="1551">
        <f>'Input data'!B128</f>
        <v>64.676158618096451</v>
      </c>
      <c r="C108" s="1550">
        <f>'Input data'!C128</f>
        <v>4919.2292537742524</v>
      </c>
      <c r="D108" s="1552">
        <f>'Input data'!D128</f>
        <v>48438037.819118328</v>
      </c>
      <c r="E108" s="1454">
        <f t="shared" si="29"/>
        <v>0.80986666666666651</v>
      </c>
      <c r="F108" s="1504">
        <f t="shared" si="30"/>
        <v>0.31548333333333328</v>
      </c>
      <c r="G108" s="1509">
        <f>B108*F108*'Input data'!$C$9</f>
        <v>624.5147284656291</v>
      </c>
      <c r="H108" s="1508">
        <f>'Input data'!I128</f>
        <v>424.26313389388866</v>
      </c>
      <c r="I108" s="1509">
        <f>'Input data'!K128</f>
        <v>27439.709743531836</v>
      </c>
      <c r="J108" s="1509">
        <f t="shared" si="77"/>
        <v>6199.0428971457768</v>
      </c>
      <c r="K108" s="1511">
        <f t="shared" si="78"/>
        <v>6552.6964314646102</v>
      </c>
      <c r="L108" s="1504">
        <f>($L$110-$L$97)/($A$110-$A$97)*L107+L107</f>
        <v>0.57999999999999996</v>
      </c>
      <c r="M108" s="1504">
        <f>($M$110-$M$97)/($A$110-$A$97)*M107+M107</f>
        <v>0.437</v>
      </c>
      <c r="N108" s="1504">
        <f>($N$110-$N$97)/($A$110-$A$97)*N107+N107</f>
        <v>0.71200000000000008</v>
      </c>
      <c r="O108" s="1504">
        <f>($L$110-$L$97)/($A$110-$A$97)*O107+O107</f>
        <v>0.8</v>
      </c>
      <c r="P108" s="1504">
        <f t="shared" si="35"/>
        <v>0.23600000000000002</v>
      </c>
      <c r="Q108" s="1508">
        <f t="shared" si="36"/>
        <v>0</v>
      </c>
      <c r="R108" s="1509">
        <f t="shared" si="37"/>
        <v>0</v>
      </c>
      <c r="S108" s="1509">
        <f t="shared" si="38"/>
        <v>0</v>
      </c>
      <c r="T108" s="1509">
        <f t="shared" si="39"/>
        <v>0</v>
      </c>
      <c r="U108" s="1511">
        <f t="shared" si="40"/>
        <v>0</v>
      </c>
      <c r="V108" s="1509">
        <f t="shared" si="10"/>
        <v>0</v>
      </c>
      <c r="W108" s="1454">
        <f>W107</f>
        <v>0.5</v>
      </c>
      <c r="X108" s="530">
        <f t="shared" si="41"/>
        <v>3033.4854703020706</v>
      </c>
      <c r="Y108" s="528">
        <f t="shared" si="79"/>
        <v>3033.4854703020706</v>
      </c>
      <c r="Z108" s="528">
        <f t="shared" si="80"/>
        <v>9718.2538583083169</v>
      </c>
      <c r="AA108" s="530">
        <f t="shared" si="81"/>
        <v>3519.2109611625401</v>
      </c>
      <c r="AB108" s="1091">
        <f t="shared" si="42"/>
        <v>0.3621237943021936</v>
      </c>
      <c r="AC108" s="135" t="str">
        <f t="shared" si="43"/>
        <v>Yes</v>
      </c>
      <c r="AD108" s="1091">
        <f t="shared" si="44"/>
        <v>0.3621237943021936</v>
      </c>
      <c r="AE108" s="649">
        <f t="shared" si="11"/>
        <v>0.18787758011779954</v>
      </c>
      <c r="AF108" s="530">
        <f t="shared" si="45"/>
        <v>344.55360296471088</v>
      </c>
      <c r="AG108" s="527">
        <f t="shared" si="46"/>
        <v>6199.0428971457768</v>
      </c>
      <c r="AH108" s="528">
        <f t="shared" si="82"/>
        <v>7521.6240402698641</v>
      </c>
      <c r="AI108" s="528">
        <f t="shared" si="83"/>
        <v>6437.6604656145792</v>
      </c>
      <c r="AJ108" s="528">
        <f t="shared" si="12"/>
        <v>2126.0760747520476</v>
      </c>
      <c r="AK108" s="528">
        <f t="shared" si="47"/>
        <v>22284.403477782267</v>
      </c>
      <c r="AL108" s="716">
        <f t="shared" si="13"/>
        <v>0</v>
      </c>
      <c r="AM108" s="649">
        <f t="shared" si="48"/>
        <v>0.27817854327248531</v>
      </c>
      <c r="AN108" s="417">
        <f t="shared" si="49"/>
        <v>0.33752862389917615</v>
      </c>
      <c r="AO108" s="417">
        <f t="shared" si="50"/>
        <v>0.28888637167393688</v>
      </c>
      <c r="AP108" s="417">
        <f t="shared" si="51"/>
        <v>9.5406461154401684E-2</v>
      </c>
      <c r="AQ108" s="525">
        <f t="shared" si="52"/>
        <v>1</v>
      </c>
      <c r="AR108" s="1086">
        <f t="shared" si="14"/>
        <v>1099.2054164401477</v>
      </c>
      <c r="AS108" s="938">
        <f t="shared" si="15"/>
        <v>1394.0898433577318</v>
      </c>
      <c r="AT108" s="938">
        <f t="shared" si="16"/>
        <v>479.89352393483699</v>
      </c>
      <c r="AU108" s="938">
        <f t="shared" si="17"/>
        <v>0</v>
      </c>
      <c r="AV108" s="938">
        <f t="shared" si="18"/>
        <v>0</v>
      </c>
      <c r="AW108" s="938">
        <f t="shared" si="19"/>
        <v>0</v>
      </c>
      <c r="AX108" s="938">
        <f t="shared" si="20"/>
        <v>2042.5889682374259</v>
      </c>
      <c r="AY108" s="938">
        <f t="shared" si="21"/>
        <v>295.31179383264521</v>
      </c>
      <c r="AZ108" s="938">
        <f t="shared" si="22"/>
        <v>429.23416794623495</v>
      </c>
      <c r="BA108" s="938">
        <f t="shared" si="23"/>
        <v>377.33090740585732</v>
      </c>
      <c r="BB108" s="938">
        <f t="shared" si="24"/>
        <v>81.388275990895551</v>
      </c>
      <c r="BC108" s="530">
        <f t="shared" si="53"/>
        <v>6199.042897145775</v>
      </c>
      <c r="BD108" s="724">
        <f t="shared" si="54"/>
        <v>0</v>
      </c>
      <c r="BE108" s="436">
        <f t="shared" si="55"/>
        <v>0.17731856912076779</v>
      </c>
      <c r="BF108" s="624">
        <f t="shared" si="56"/>
        <v>0.22488791681045028</v>
      </c>
      <c r="BG108" s="624">
        <f t="shared" si="57"/>
        <v>7.7414131809895093E-2</v>
      </c>
      <c r="BH108" s="624">
        <f t="shared" si="58"/>
        <v>0</v>
      </c>
      <c r="BI108" s="624">
        <f t="shared" si="59"/>
        <v>0</v>
      </c>
      <c r="BJ108" s="624">
        <f t="shared" si="60"/>
        <v>0</v>
      </c>
      <c r="BK108" s="624">
        <f t="shared" si="61"/>
        <v>0.52037938225888702</v>
      </c>
      <c r="BL108" s="624">
        <f t="shared" si="62"/>
        <v>1.0000000000000002</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96.69793252231031</v>
      </c>
      <c r="BW108" s="114">
        <f t="shared" si="65"/>
        <v>0.51854306080356949</v>
      </c>
      <c r="BX108" s="1689">
        <f t="shared" si="25"/>
        <v>48.438037819118328</v>
      </c>
      <c r="BY108" s="527">
        <f t="shared" si="66"/>
        <v>96.69793252231031</v>
      </c>
      <c r="BZ108" s="417">
        <f t="shared" si="67"/>
        <v>0.51854306080356949</v>
      </c>
      <c r="CA108" s="544">
        <f t="shared" si="26"/>
        <v>48.438037819118328</v>
      </c>
      <c r="CB108" s="649">
        <f t="shared" si="27"/>
        <v>0.18787758011779954</v>
      </c>
      <c r="CC108" s="525">
        <f t="shared" si="68"/>
        <v>0.30856267073802934</v>
      </c>
      <c r="CD108" s="417">
        <f t="shared" si="28"/>
        <v>0.18787758011779954</v>
      </c>
      <c r="CE108" s="525">
        <f t="shared" si="69"/>
        <v>0.30856267073802934</v>
      </c>
      <c r="CG108" s="527">
        <f t="shared" si="70"/>
        <v>1420.0681741933902</v>
      </c>
      <c r="CH108" s="528">
        <f t="shared" si="71"/>
        <v>549.67576295596086</v>
      </c>
      <c r="CI108" s="528">
        <f t="shared" si="72"/>
        <v>2273.8792220127862</v>
      </c>
      <c r="CJ108" s="528">
        <f t="shared" si="73"/>
        <v>3234.2081952461122</v>
      </c>
      <c r="CK108" s="528">
        <f t="shared" si="74"/>
        <v>43.792685861614679</v>
      </c>
      <c r="CL108" s="528">
        <f t="shared" si="75"/>
        <v>7521.6240402698641</v>
      </c>
      <c r="CM108" s="646">
        <f t="shared" si="76"/>
        <v>0</v>
      </c>
    </row>
    <row r="109" spans="1:91">
      <c r="A109" s="873">
        <f>'Input data'!A129</f>
        <v>2029</v>
      </c>
      <c r="B109" s="1551">
        <f>'Input data'!B129</f>
        <v>65.31298905018393</v>
      </c>
      <c r="C109" s="1550">
        <f>'Input data'!C129</f>
        <v>5028.6283675846353</v>
      </c>
      <c r="D109" s="1552">
        <f>'Input data'!D129</f>
        <v>47172284.942566738</v>
      </c>
      <c r="E109" s="1454">
        <f t="shared" si="29"/>
        <v>0.81850909090909074</v>
      </c>
      <c r="F109" s="1504">
        <f t="shared" si="30"/>
        <v>0.31783636363636358</v>
      </c>
      <c r="G109" s="1509">
        <f>B109*F109*'Input data'!$C$9</f>
        <v>635.36778328058904</v>
      </c>
      <c r="H109" s="1508">
        <f>'Input data'!I129</f>
        <v>424.26313389388866</v>
      </c>
      <c r="I109" s="1509">
        <f>'Input data'!K129</f>
        <v>27709.893418408268</v>
      </c>
      <c r="J109" s="1509">
        <f t="shared" si="77"/>
        <v>5877.1731812078651</v>
      </c>
      <c r="K109" s="1511">
        <f t="shared" si="78"/>
        <v>7000.1254854958279</v>
      </c>
      <c r="L109" s="1504">
        <f>($L$110-$L$97)/($A$110-$A$97)*L108+L108</f>
        <v>0.57999999999999996</v>
      </c>
      <c r="M109" s="1504">
        <f>($L$110-$L$97)/($A$110-$A$97)*M108+M108</f>
        <v>0.437</v>
      </c>
      <c r="N109" s="1504">
        <f>($N$110-$N$97)/($A$110-$A$97)*N108+N108</f>
        <v>0.71200000000000008</v>
      </c>
      <c r="O109" s="1504">
        <f>($L$110-$L$97)/($A$110-$A$97)*O108+O108</f>
        <v>0.8</v>
      </c>
      <c r="P109" s="1504">
        <f t="shared" si="35"/>
        <v>0.23600000000000002</v>
      </c>
      <c r="Q109" s="1508">
        <f t="shared" si="36"/>
        <v>0</v>
      </c>
      <c r="R109" s="1509">
        <f t="shared" si="37"/>
        <v>0</v>
      </c>
      <c r="S109" s="1509">
        <f t="shared" si="38"/>
        <v>0</v>
      </c>
      <c r="T109" s="1509">
        <f t="shared" si="39"/>
        <v>0</v>
      </c>
      <c r="U109" s="1511">
        <f t="shared" si="40"/>
        <v>0</v>
      </c>
      <c r="V109" s="1509">
        <f t="shared" si="10"/>
        <v>0</v>
      </c>
      <c r="W109" s="1454">
        <f t="shared" ref="W109:W130" si="86">W108</f>
        <v>0.5</v>
      </c>
      <c r="X109" s="530">
        <f t="shared" si="41"/>
        <v>3033.4854703020706</v>
      </c>
      <c r="Y109" s="528">
        <f t="shared" si="79"/>
        <v>3033.4854703020706</v>
      </c>
      <c r="Z109" s="528">
        <f t="shared" si="80"/>
        <v>9843.8131964016229</v>
      </c>
      <c r="AA109" s="530">
        <f t="shared" si="81"/>
        <v>3966.6400151937578</v>
      </c>
      <c r="AB109" s="1091">
        <f t="shared" si="42"/>
        <v>0.40295766854289267</v>
      </c>
      <c r="AC109" s="135" t="str">
        <f t="shared" si="43"/>
        <v>Yes</v>
      </c>
      <c r="AD109" s="1091">
        <f t="shared" si="44"/>
        <v>0.40295766854289267</v>
      </c>
      <c r="AE109" s="649">
        <f t="shared" si="11"/>
        <v>0.20894363003364869</v>
      </c>
      <c r="AF109" s="530">
        <f t="shared" si="45"/>
        <v>335.61605460864763</v>
      </c>
      <c r="AG109" s="527">
        <f t="shared" si="46"/>
        <v>5877.1731812078651</v>
      </c>
      <c r="AH109" s="528">
        <f t="shared" si="82"/>
        <v>7595.6853201898566</v>
      </c>
      <c r="AI109" s="528">
        <f t="shared" si="83"/>
        <v>6437.6604656145792</v>
      </c>
      <c r="AJ109" s="528">
        <f t="shared" si="12"/>
        <v>2009.5687327082351</v>
      </c>
      <c r="AK109" s="528">
        <f t="shared" si="47"/>
        <v>21920.087699720534</v>
      </c>
      <c r="AL109" s="716">
        <f t="shared" si="13"/>
        <v>0</v>
      </c>
      <c r="AM109" s="649">
        <f t="shared" si="48"/>
        <v>0.26811814175737969</v>
      </c>
      <c r="AN109" s="417">
        <f t="shared" si="49"/>
        <v>0.34651710450440837</v>
      </c>
      <c r="AO109" s="417">
        <f t="shared" si="50"/>
        <v>0.29368771483960143</v>
      </c>
      <c r="AP109" s="417">
        <f t="shared" si="51"/>
        <v>9.1677038898610591E-2</v>
      </c>
      <c r="AQ109" s="525">
        <f t="shared" si="52"/>
        <v>1.0000000000000002</v>
      </c>
      <c r="AR109" s="1086">
        <f t="shared" si="14"/>
        <v>1046.831777980605</v>
      </c>
      <c r="AS109" s="938">
        <f t="shared" si="15"/>
        <v>1327.6659008042118</v>
      </c>
      <c r="AT109" s="938">
        <f t="shared" si="16"/>
        <v>453.59572603303462</v>
      </c>
      <c r="AU109" s="938">
        <f t="shared" si="17"/>
        <v>0</v>
      </c>
      <c r="AV109" s="938">
        <f t="shared" si="18"/>
        <v>0</v>
      </c>
      <c r="AW109" s="938">
        <f t="shared" si="19"/>
        <v>0</v>
      </c>
      <c r="AX109" s="938">
        <f t="shared" si="20"/>
        <v>1930.6566557470978</v>
      </c>
      <c r="AY109" s="938">
        <f t="shared" si="21"/>
        <v>279.12893350030998</v>
      </c>
      <c r="AZ109" s="938">
        <f t="shared" si="22"/>
        <v>405.71246398856471</v>
      </c>
      <c r="BA109" s="938">
        <f t="shared" si="23"/>
        <v>356.6534624099329</v>
      </c>
      <c r="BB109" s="938">
        <f t="shared" si="24"/>
        <v>76.928260744106552</v>
      </c>
      <c r="BC109" s="530">
        <f t="shared" si="53"/>
        <v>5877.1731812078642</v>
      </c>
      <c r="BD109" s="724">
        <f t="shared" si="54"/>
        <v>0</v>
      </c>
      <c r="BE109" s="436">
        <f t="shared" si="55"/>
        <v>0.17811824591588135</v>
      </c>
      <c r="BF109" s="624">
        <f t="shared" si="56"/>
        <v>0.22590212332850684</v>
      </c>
      <c r="BG109" s="624">
        <f t="shared" si="57"/>
        <v>7.717923431002463E-2</v>
      </c>
      <c r="BH109" s="624">
        <f t="shared" si="58"/>
        <v>0</v>
      </c>
      <c r="BI109" s="624">
        <f t="shared" si="59"/>
        <v>0</v>
      </c>
      <c r="BJ109" s="624">
        <f t="shared" si="60"/>
        <v>0</v>
      </c>
      <c r="BK109" s="624">
        <f t="shared" si="61"/>
        <v>0.51880039644558706</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95.628812854832148</v>
      </c>
      <c r="BW109" s="114">
        <f t="shared" si="65"/>
        <v>0.53536333799878499</v>
      </c>
      <c r="BX109" s="1689">
        <f t="shared" si="25"/>
        <v>47.172284942566741</v>
      </c>
      <c r="BY109" s="527">
        <f t="shared" si="66"/>
        <v>95.628812854832148</v>
      </c>
      <c r="BZ109" s="417">
        <f t="shared" si="67"/>
        <v>0.53536333799878499</v>
      </c>
      <c r="CA109" s="544">
        <f t="shared" si="26"/>
        <v>47.172284942566741</v>
      </c>
      <c r="CB109" s="649">
        <f t="shared" si="27"/>
        <v>0.20894363003364869</v>
      </c>
      <c r="CC109" s="525">
        <f t="shared" si="68"/>
        <v>0.31543238100002513</v>
      </c>
      <c r="CD109" s="417">
        <f t="shared" si="28"/>
        <v>0.20894363003364869</v>
      </c>
      <c r="CE109" s="525">
        <f t="shared" si="69"/>
        <v>0.31543238100002513</v>
      </c>
      <c r="CG109" s="527">
        <f t="shared" si="70"/>
        <v>1434.050801614188</v>
      </c>
      <c r="CH109" s="528">
        <f t="shared" si="71"/>
        <v>555.08811676779214</v>
      </c>
      <c r="CI109" s="528">
        <f t="shared" si="72"/>
        <v>2296.2688555100353</v>
      </c>
      <c r="CJ109" s="528">
        <f t="shared" si="73"/>
        <v>3266.0536580325047</v>
      </c>
      <c r="CK109" s="528">
        <f t="shared" si="74"/>
        <v>44.223888265335049</v>
      </c>
      <c r="CL109" s="528">
        <f t="shared" si="75"/>
        <v>7595.6853201898539</v>
      </c>
      <c r="CM109" s="646">
        <f t="shared" si="76"/>
        <v>0</v>
      </c>
    </row>
    <row r="110" spans="1:91" s="1" customFormat="1">
      <c r="A110" s="873">
        <f>'Input data'!A130</f>
        <v>2030</v>
      </c>
      <c r="B110" s="1551">
        <f>'Input data'!B130</f>
        <v>65.956090000000003</v>
      </c>
      <c r="C110" s="1550">
        <f>'Input data'!C130</f>
        <v>5124.9200809700387</v>
      </c>
      <c r="D110" s="1552">
        <f>'Input data'!D130</f>
        <v>46124498.893218428</v>
      </c>
      <c r="E110" s="1454">
        <f t="shared" si="29"/>
        <v>0.82715151515151497</v>
      </c>
      <c r="F110" s="1504">
        <f t="shared" si="30"/>
        <v>0.32018939393939388</v>
      </c>
      <c r="G110" s="1509">
        <f>B110*F110*'Input data'!$C$9</f>
        <v>646.37401788713851</v>
      </c>
      <c r="H110" s="1508">
        <f>'Input data'!I130</f>
        <v>424.26313389388866</v>
      </c>
      <c r="I110" s="1509">
        <f>'Input data'!K130</f>
        <v>27982.737442787373</v>
      </c>
      <c r="J110" s="1509">
        <f>J97*(1-$C$4)</f>
        <v>5572.0157409803969</v>
      </c>
      <c r="K110" s="1511">
        <f t="shared" si="78"/>
        <v>7432.0785773089146</v>
      </c>
      <c r="L110" s="1504">
        <f>C18</f>
        <v>0.57999999999999996</v>
      </c>
      <c r="M110" s="1504">
        <f>D18</f>
        <v>0.437</v>
      </c>
      <c r="N110" s="1504">
        <f>E18</f>
        <v>0.71200000000000008</v>
      </c>
      <c r="O110" s="1504">
        <f>F18</f>
        <v>0.8</v>
      </c>
      <c r="P110" s="1504">
        <f>G18</f>
        <v>0.23600000000000002</v>
      </c>
      <c r="Q110" s="1508">
        <f t="shared" si="36"/>
        <v>0</v>
      </c>
      <c r="R110" s="1509">
        <f t="shared" si="37"/>
        <v>0</v>
      </c>
      <c r="S110" s="1509">
        <f t="shared" si="38"/>
        <v>0</v>
      </c>
      <c r="T110" s="1509">
        <f t="shared" si="39"/>
        <v>0</v>
      </c>
      <c r="U110" s="1511">
        <f t="shared" si="40"/>
        <v>0</v>
      </c>
      <c r="V110" s="1509">
        <f t="shared" si="10"/>
        <v>0</v>
      </c>
      <c r="W110" s="1454">
        <f t="shared" si="86"/>
        <v>0.5</v>
      </c>
      <c r="X110" s="530">
        <f t="shared" si="41"/>
        <v>3033.4854703020706</v>
      </c>
      <c r="Y110" s="528">
        <f t="shared" si="79"/>
        <v>3033.4854703020706</v>
      </c>
      <c r="Z110" s="528">
        <f t="shared" si="80"/>
        <v>9970.6088479872415</v>
      </c>
      <c r="AA110" s="530">
        <f t="shared" si="81"/>
        <v>4398.5931070068445</v>
      </c>
      <c r="AB110" s="1091">
        <f t="shared" si="42"/>
        <v>0.4411559187676673</v>
      </c>
      <c r="AC110" s="135" t="str">
        <f t="shared" si="43"/>
        <v>Yes</v>
      </c>
      <c r="AD110" s="1091">
        <f t="shared" si="44"/>
        <v>0.4411559187676673</v>
      </c>
      <c r="AE110" s="649">
        <f t="shared" si="11"/>
        <v>0.22882200098597416</v>
      </c>
      <c r="AF110" s="530">
        <f t="shared" si="45"/>
        <v>327.18239465170882</v>
      </c>
      <c r="AG110" s="527">
        <f t="shared" si="46"/>
        <v>5572.0157409803969</v>
      </c>
      <c r="AH110" s="528">
        <f t="shared" si="82"/>
        <v>7670.4758406507226</v>
      </c>
      <c r="AI110" s="528">
        <f t="shared" si="83"/>
        <v>6437.6604656145792</v>
      </c>
      <c r="AJ110" s="528">
        <f t="shared" si="12"/>
        <v>1899.5194208179271</v>
      </c>
      <c r="AK110" s="528">
        <f t="shared" si="47"/>
        <v>21579.671468063625</v>
      </c>
      <c r="AL110" s="716">
        <f t="shared" si="13"/>
        <v>0</v>
      </c>
      <c r="AM110" s="649">
        <f t="shared" si="48"/>
        <v>0.25820669926447132</v>
      </c>
      <c r="AN110" s="417">
        <f t="shared" si="49"/>
        <v>0.35544914814863982</v>
      </c>
      <c r="AO110" s="417">
        <f t="shared" si="50"/>
        <v>0.29832059654577492</v>
      </c>
      <c r="AP110" s="417">
        <f t="shared" si="51"/>
        <v>8.802355604111399E-2</v>
      </c>
      <c r="AQ110" s="525">
        <f t="shared" si="52"/>
        <v>1</v>
      </c>
      <c r="AR110" s="1086">
        <f t="shared" si="14"/>
        <v>996.86346907006885</v>
      </c>
      <c r="AS110" s="938">
        <f t="shared" si="15"/>
        <v>1264.2925668485441</v>
      </c>
      <c r="AT110" s="938">
        <f t="shared" si="16"/>
        <v>428.75562143056737</v>
      </c>
      <c r="AU110" s="938">
        <f t="shared" si="17"/>
        <v>0</v>
      </c>
      <c r="AV110" s="938">
        <f t="shared" si="18"/>
        <v>0</v>
      </c>
      <c r="AW110" s="938">
        <f t="shared" si="19"/>
        <v>0</v>
      </c>
      <c r="AX110" s="938">
        <f t="shared" si="20"/>
        <v>1824.9287784153903</v>
      </c>
      <c r="AY110" s="938">
        <f t="shared" si="21"/>
        <v>263.8430930309537</v>
      </c>
      <c r="AZ110" s="938">
        <f t="shared" si="22"/>
        <v>383.49457377134803</v>
      </c>
      <c r="BA110" s="938">
        <f t="shared" si="23"/>
        <v>337.1221731921645</v>
      </c>
      <c r="BB110" s="938">
        <f t="shared" si="24"/>
        <v>72.715465221358798</v>
      </c>
      <c r="BC110" s="530">
        <f t="shared" si="53"/>
        <v>5572.0157409803942</v>
      </c>
      <c r="BD110" s="724">
        <f t="shared" si="54"/>
        <v>0</v>
      </c>
      <c r="BE110" s="436">
        <f t="shared" si="55"/>
        <v>0.17890535766768509</v>
      </c>
      <c r="BF110" s="624">
        <f t="shared" si="56"/>
        <v>0.22690039397234227</v>
      </c>
      <c r="BG110" s="624">
        <f t="shared" si="57"/>
        <v>7.6948027672859368E-2</v>
      </c>
      <c r="BH110" s="624">
        <f t="shared" si="58"/>
        <v>0</v>
      </c>
      <c r="BI110" s="624">
        <f t="shared" si="59"/>
        <v>0</v>
      </c>
      <c r="BJ110" s="624">
        <f t="shared" si="60"/>
        <v>0</v>
      </c>
      <c r="BK110" s="624">
        <f t="shared" si="61"/>
        <v>0.51724622068711357</v>
      </c>
      <c r="BL110" s="624">
        <f t="shared" si="62"/>
        <v>1.0000000000000002</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94.734350762496746</v>
      </c>
      <c r="BW110" s="114">
        <f t="shared" si="65"/>
        <v>0.55167672007344637</v>
      </c>
      <c r="BX110" s="1689">
        <f t="shared" si="25"/>
        <v>46.12449889321843</v>
      </c>
      <c r="BY110" s="527">
        <f t="shared" si="66"/>
        <v>94.734350762496746</v>
      </c>
      <c r="BZ110" s="417">
        <f t="shared" si="67"/>
        <v>0.55167672007344637</v>
      </c>
      <c r="CA110" s="544">
        <f t="shared" si="26"/>
        <v>46.12449889321843</v>
      </c>
      <c r="CB110" s="649">
        <f t="shared" si="27"/>
        <v>0.22882200098597416</v>
      </c>
      <c r="CC110" s="525">
        <f t="shared" si="68"/>
        <v>0.3212759023902616</v>
      </c>
      <c r="CD110" s="417">
        <f t="shared" si="28"/>
        <v>0.22882200098597416</v>
      </c>
      <c r="CE110" s="525">
        <f t="shared" si="69"/>
        <v>0.3212759023902616</v>
      </c>
      <c r="CG110" s="527">
        <f t="shared" si="70"/>
        <v>1448.1711082486611</v>
      </c>
      <c r="CH110" s="528">
        <f t="shared" si="71"/>
        <v>560.55376303994024</v>
      </c>
      <c r="CI110" s="528">
        <f t="shared" si="72"/>
        <v>2318.8789473690513</v>
      </c>
      <c r="CJ110" s="528">
        <f t="shared" si="73"/>
        <v>3298.2126855119714</v>
      </c>
      <c r="CK110" s="528">
        <f t="shared" si="74"/>
        <v>44.65933648109722</v>
      </c>
      <c r="CL110" s="528">
        <f t="shared" si="75"/>
        <v>7670.4758406507208</v>
      </c>
      <c r="CM110" s="646">
        <f t="shared" si="76"/>
        <v>0</v>
      </c>
    </row>
    <row r="111" spans="1:91">
      <c r="A111" s="873">
        <f>'Input data'!A131</f>
        <v>2031</v>
      </c>
      <c r="B111" s="1551">
        <f>'Input data'!B131</f>
        <v>66.518977190687664</v>
      </c>
      <c r="C111" s="1550">
        <f>'Input data'!C131</f>
        <v>5062.3234119259168</v>
      </c>
      <c r="D111" s="1552">
        <f>'Input data'!D131</f>
        <v>43997076.132191785</v>
      </c>
      <c r="E111" s="1454">
        <f t="shared" si="29"/>
        <v>0.8357939393939392</v>
      </c>
      <c r="F111" s="1504">
        <f t="shared" si="30"/>
        <v>0.32254242424242419</v>
      </c>
      <c r="G111" s="1509">
        <f>B111*F111*'Input data'!$C$9</f>
        <v>656.68100693696977</v>
      </c>
      <c r="H111" s="1508">
        <f>'Input data'!I131</f>
        <v>424.26313389388866</v>
      </c>
      <c r="I111" s="1509">
        <f>'Input data'!K131</f>
        <v>28221.549726337245</v>
      </c>
      <c r="J111" s="1509">
        <f t="shared" ref="J111:J116" si="87">($J$117-$J$107)/($A$117-$A$107)+J110</f>
        <v>5308.2028273926371</v>
      </c>
      <c r="K111" s="1511">
        <f t="shared" si="78"/>
        <v>7806.8719646976406</v>
      </c>
      <c r="L111" s="1504">
        <f>L110</f>
        <v>0.57999999999999996</v>
      </c>
      <c r="M111" s="1504">
        <f t="shared" ref="M111:P111" si="88">M110</f>
        <v>0.437</v>
      </c>
      <c r="N111" s="1504">
        <f t="shared" si="88"/>
        <v>0.71200000000000008</v>
      </c>
      <c r="O111" s="1504">
        <f t="shared" si="88"/>
        <v>0.8</v>
      </c>
      <c r="P111" s="1504">
        <f t="shared" si="88"/>
        <v>0.23600000000000002</v>
      </c>
      <c r="Q111" s="1508">
        <f t="shared" si="36"/>
        <v>0</v>
      </c>
      <c r="R111" s="1509">
        <f t="shared" si="37"/>
        <v>0</v>
      </c>
      <c r="S111" s="1509">
        <f t="shared" si="38"/>
        <v>0</v>
      </c>
      <c r="T111" s="1509">
        <f t="shared" si="39"/>
        <v>0</v>
      </c>
      <c r="U111" s="1511">
        <f t="shared" si="40"/>
        <v>0</v>
      </c>
      <c r="V111" s="1509">
        <f t="shared" si="10"/>
        <v>0</v>
      </c>
      <c r="W111" s="1454">
        <f t="shared" si="86"/>
        <v>0.5</v>
      </c>
      <c r="X111" s="530">
        <f t="shared" si="41"/>
        <v>3033.4854703020706</v>
      </c>
      <c r="Y111" s="528">
        <f t="shared" si="79"/>
        <v>3033.4854703020706</v>
      </c>
      <c r="Z111" s="528">
        <f t="shared" si="80"/>
        <v>10081.589321788208</v>
      </c>
      <c r="AA111" s="530">
        <f t="shared" si="81"/>
        <v>4773.3864943955705</v>
      </c>
      <c r="AB111" s="1091">
        <f t="shared" si="42"/>
        <v>0.47347559417832918</v>
      </c>
      <c r="AC111" s="135" t="str">
        <f t="shared" si="43"/>
        <v>Yes</v>
      </c>
      <c r="AD111" s="1091">
        <f t="shared" si="44"/>
        <v>0.47347559417832918</v>
      </c>
      <c r="AE111" s="649">
        <f t="shared" si="11"/>
        <v>0.24572749882361522</v>
      </c>
      <c r="AF111" s="530">
        <f t="shared" si="45"/>
        <v>320.01001515907478</v>
      </c>
      <c r="AG111" s="527">
        <f t="shared" si="46"/>
        <v>5308.2028273926371</v>
      </c>
      <c r="AH111" s="528">
        <f t="shared" si="82"/>
        <v>7735.9377653521624</v>
      </c>
      <c r="AI111" s="528">
        <f t="shared" si="83"/>
        <v>6437.6604656145792</v>
      </c>
      <c r="AJ111" s="528">
        <f t="shared" si="12"/>
        <v>1804.937840798731</v>
      </c>
      <c r="AK111" s="528">
        <f t="shared" si="47"/>
        <v>21286.73889915811</v>
      </c>
      <c r="AL111" s="716">
        <f t="shared" si="13"/>
        <v>0</v>
      </c>
      <c r="AM111" s="649">
        <f t="shared" si="48"/>
        <v>0.24936665275687561</v>
      </c>
      <c r="AN111" s="417">
        <f t="shared" si="49"/>
        <v>0.36341582437778286</v>
      </c>
      <c r="AO111" s="417">
        <f t="shared" si="50"/>
        <v>0.30242586692643597</v>
      </c>
      <c r="AP111" s="417">
        <f t="shared" si="51"/>
        <v>8.479165593890553E-2</v>
      </c>
      <c r="AQ111" s="525">
        <f t="shared" si="52"/>
        <v>1</v>
      </c>
      <c r="AR111" s="1086">
        <f t="shared" si="14"/>
        <v>953.23668393184289</v>
      </c>
      <c r="AS111" s="938">
        <f t="shared" si="15"/>
        <v>1208.9620006505363</v>
      </c>
      <c r="AT111" s="938">
        <f t="shared" si="16"/>
        <v>407.40686149024856</v>
      </c>
      <c r="AU111" s="938">
        <f t="shared" si="17"/>
        <v>0</v>
      </c>
      <c r="AV111" s="938">
        <f t="shared" si="18"/>
        <v>0</v>
      </c>
      <c r="AW111" s="938">
        <f t="shared" si="19"/>
        <v>0</v>
      </c>
      <c r="AX111" s="938">
        <f t="shared" si="20"/>
        <v>1734.0612435045307</v>
      </c>
      <c r="AY111" s="938">
        <f t="shared" si="21"/>
        <v>250.70571926023757</v>
      </c>
      <c r="AZ111" s="938">
        <f t="shared" si="22"/>
        <v>364.39946881029215</v>
      </c>
      <c r="BA111" s="938">
        <f t="shared" si="23"/>
        <v>320.33606010978809</v>
      </c>
      <c r="BB111" s="938">
        <f t="shared" si="24"/>
        <v>69.09478963515943</v>
      </c>
      <c r="BC111" s="530">
        <f t="shared" si="53"/>
        <v>5308.2028273926362</v>
      </c>
      <c r="BD111" s="724">
        <f t="shared" si="54"/>
        <v>0</v>
      </c>
      <c r="BE111" s="436">
        <f t="shared" si="55"/>
        <v>0.17957804457145587</v>
      </c>
      <c r="BF111" s="624">
        <f t="shared" si="56"/>
        <v>0.22775354295276104</v>
      </c>
      <c r="BG111" s="624">
        <f t="shared" si="57"/>
        <v>7.6750432253238687E-2</v>
      </c>
      <c r="BH111" s="624">
        <f t="shared" si="58"/>
        <v>0</v>
      </c>
      <c r="BI111" s="624">
        <f t="shared" si="59"/>
        <v>0</v>
      </c>
      <c r="BJ111" s="624">
        <f t="shared" si="60"/>
        <v>0</v>
      </c>
      <c r="BK111" s="624">
        <f t="shared" si="61"/>
        <v>0.51591798022254431</v>
      </c>
      <c r="BL111" s="624">
        <f t="shared" si="62"/>
        <v>1</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91.993028133330384</v>
      </c>
      <c r="BW111" s="114">
        <f t="shared" si="65"/>
        <v>0.55968550492284308</v>
      </c>
      <c r="BX111" s="1689">
        <f t="shared" si="25"/>
        <v>43.997076132191786</v>
      </c>
      <c r="BY111" s="527">
        <f t="shared" si="66"/>
        <v>91.993028133330384</v>
      </c>
      <c r="BZ111" s="417">
        <f t="shared" si="67"/>
        <v>0.55968550492284308</v>
      </c>
      <c r="CA111" s="544">
        <f t="shared" si="26"/>
        <v>43.997076132191786</v>
      </c>
      <c r="CB111" s="649">
        <f t="shared" si="27"/>
        <v>0.24572749882361522</v>
      </c>
      <c r="CC111" s="525">
        <f t="shared" si="68"/>
        <v>0.32597845323728281</v>
      </c>
      <c r="CD111" s="417">
        <f t="shared" si="28"/>
        <v>0.24572749882361522</v>
      </c>
      <c r="CE111" s="525">
        <f t="shared" si="69"/>
        <v>0.32597845323728281</v>
      </c>
      <c r="CG111" s="527">
        <f t="shared" si="70"/>
        <v>1460.5301939184926</v>
      </c>
      <c r="CH111" s="528">
        <f t="shared" si="71"/>
        <v>565.33768114222528</v>
      </c>
      <c r="CI111" s="528">
        <f t="shared" si="72"/>
        <v>2338.6688902875799</v>
      </c>
      <c r="CJ111" s="528">
        <f t="shared" si="73"/>
        <v>3326.3605286124075</v>
      </c>
      <c r="CK111" s="528">
        <f t="shared" si="74"/>
        <v>45.040471391456826</v>
      </c>
      <c r="CL111" s="528">
        <f t="shared" si="75"/>
        <v>7735.9377653521615</v>
      </c>
      <c r="CM111" s="646">
        <f t="shared" si="76"/>
        <v>0</v>
      </c>
    </row>
    <row r="112" spans="1:91">
      <c r="A112" s="873">
        <f>'Input data'!A132</f>
        <v>2032</v>
      </c>
      <c r="B112" s="1551">
        <f>'Input data'!B132</f>
        <v>67.08666821358311</v>
      </c>
      <c r="C112" s="1550">
        <f>'Input data'!C132</f>
        <v>5235.9881649481622</v>
      </c>
      <c r="D112" s="1552">
        <f>'Input data'!D132</f>
        <v>43370376.757557131</v>
      </c>
      <c r="E112" s="1454">
        <f t="shared" si="29"/>
        <v>0.84443636363636343</v>
      </c>
      <c r="F112" s="1504">
        <f t="shared" si="30"/>
        <v>0.32489545454545449</v>
      </c>
      <c r="G112" s="1509">
        <f>B112*F112*'Input data'!$C$9</f>
        <v>667.11684340477314</v>
      </c>
      <c r="H112" s="1508">
        <f>'Input data'!I132</f>
        <v>424.26313389388866</v>
      </c>
      <c r="I112" s="1509">
        <f>'Input data'!K132</f>
        <v>28462.400098794296</v>
      </c>
      <c r="J112" s="1509">
        <f t="shared" si="87"/>
        <v>5044.3899138048773</v>
      </c>
      <c r="K112" s="1511">
        <f t="shared" si="78"/>
        <v>8182.6124896004212</v>
      </c>
      <c r="L112" s="1504">
        <f t="shared" ref="L112:L130" si="89">L111</f>
        <v>0.57999999999999996</v>
      </c>
      <c r="M112" s="1504">
        <f t="shared" ref="M112:M130" si="90">M111</f>
        <v>0.437</v>
      </c>
      <c r="N112" s="1504">
        <f t="shared" ref="N112:N130" si="91">N111</f>
        <v>0.71200000000000008</v>
      </c>
      <c r="O112" s="1504">
        <f t="shared" ref="O112:P130" si="92">O111</f>
        <v>0.8</v>
      </c>
      <c r="P112" s="1504">
        <f t="shared" si="92"/>
        <v>0.23600000000000002</v>
      </c>
      <c r="Q112" s="1508">
        <f t="shared" si="36"/>
        <v>0</v>
      </c>
      <c r="R112" s="1509">
        <f t="shared" si="37"/>
        <v>0</v>
      </c>
      <c r="S112" s="1509">
        <f t="shared" si="38"/>
        <v>0</v>
      </c>
      <c r="T112" s="1509">
        <f t="shared" si="39"/>
        <v>0</v>
      </c>
      <c r="U112" s="1511">
        <f t="shared" si="40"/>
        <v>0</v>
      </c>
      <c r="V112" s="1509">
        <f t="shared" si="10"/>
        <v>0</v>
      </c>
      <c r="W112" s="1454">
        <f t="shared" si="86"/>
        <v>0.5</v>
      </c>
      <c r="X112" s="530">
        <f t="shared" si="41"/>
        <v>3033.4854703020706</v>
      </c>
      <c r="Y112" s="528">
        <f t="shared" si="79"/>
        <v>3033.4854703020706</v>
      </c>
      <c r="Z112" s="528">
        <f t="shared" si="80"/>
        <v>10193.516933103228</v>
      </c>
      <c r="AA112" s="530">
        <f t="shared" si="81"/>
        <v>5149.1270192983511</v>
      </c>
      <c r="AB112" s="1091">
        <f t="shared" si="42"/>
        <v>0.50513743716623172</v>
      </c>
      <c r="AC112" s="135" t="str">
        <f t="shared" si="43"/>
        <v>Yes</v>
      </c>
      <c r="AD112" s="1091">
        <f t="shared" si="44"/>
        <v>0.50513743716623172</v>
      </c>
      <c r="AE112" s="649">
        <f t="shared" si="11"/>
        <v>0.26236415346842734</v>
      </c>
      <c r="AF112" s="530">
        <f t="shared" si="45"/>
        <v>312.95169592195651</v>
      </c>
      <c r="AG112" s="527">
        <f t="shared" si="46"/>
        <v>5044.3899138048773</v>
      </c>
      <c r="AH112" s="528">
        <f t="shared" si="82"/>
        <v>7801.9583599033831</v>
      </c>
      <c r="AI112" s="528">
        <f t="shared" si="83"/>
        <v>6437.6604656145792</v>
      </c>
      <c r="AJ112" s="528">
        <f t="shared" si="12"/>
        <v>1710.8778518716094</v>
      </c>
      <c r="AK112" s="528">
        <f t="shared" si="47"/>
        <v>20994.886591194449</v>
      </c>
      <c r="AL112" s="716">
        <f t="shared" si="13"/>
        <v>0</v>
      </c>
      <c r="AM112" s="649">
        <f t="shared" si="48"/>
        <v>0.24026754761897906</v>
      </c>
      <c r="AN112" s="417">
        <f t="shared" si="49"/>
        <v>0.3716123126464343</v>
      </c>
      <c r="AO112" s="417">
        <f t="shared" si="50"/>
        <v>0.30662992332212097</v>
      </c>
      <c r="AP112" s="417">
        <f t="shared" si="51"/>
        <v>8.1490216412465677E-2</v>
      </c>
      <c r="AQ112" s="525">
        <f t="shared" si="52"/>
        <v>1</v>
      </c>
      <c r="AR112" s="1086">
        <f t="shared" si="14"/>
        <v>909.20909451017747</v>
      </c>
      <c r="AS112" s="938">
        <f t="shared" si="15"/>
        <v>1153.123106188893</v>
      </c>
      <c r="AT112" s="938">
        <f t="shared" si="16"/>
        <v>386.17583401971342</v>
      </c>
      <c r="AU112" s="938">
        <f t="shared" si="17"/>
        <v>0</v>
      </c>
      <c r="AV112" s="938">
        <f t="shared" si="18"/>
        <v>0</v>
      </c>
      <c r="AW112" s="938">
        <f t="shared" si="19"/>
        <v>0</v>
      </c>
      <c r="AX112" s="938">
        <f t="shared" si="20"/>
        <v>1643.6948177605789</v>
      </c>
      <c r="AY112" s="938">
        <f t="shared" si="21"/>
        <v>237.64079444978057</v>
      </c>
      <c r="AZ112" s="938">
        <f t="shared" si="22"/>
        <v>345.40966803899391</v>
      </c>
      <c r="BA112" s="938">
        <f t="shared" si="23"/>
        <v>303.64251776954279</v>
      </c>
      <c r="BB112" s="938">
        <f t="shared" si="24"/>
        <v>65.494081067196291</v>
      </c>
      <c r="BC112" s="530">
        <f t="shared" si="53"/>
        <v>5044.3899138048755</v>
      </c>
      <c r="BD112" s="724">
        <f t="shared" si="54"/>
        <v>0</v>
      </c>
      <c r="BE112" s="436">
        <f t="shared" si="55"/>
        <v>0.18024163675808727</v>
      </c>
      <c r="BF112" s="624">
        <f t="shared" si="56"/>
        <v>0.22859515737139297</v>
      </c>
      <c r="BG112" s="624">
        <f t="shared" si="57"/>
        <v>7.6555508320812815E-2</v>
      </c>
      <c r="BH112" s="624">
        <f t="shared" si="58"/>
        <v>0</v>
      </c>
      <c r="BI112" s="624">
        <f t="shared" si="59"/>
        <v>0</v>
      </c>
      <c r="BJ112" s="624">
        <f t="shared" si="60"/>
        <v>0</v>
      </c>
      <c r="BK112" s="624">
        <f t="shared" si="61"/>
        <v>0.51460769754970714</v>
      </c>
      <c r="BL112" s="624">
        <f t="shared" si="62"/>
        <v>1.0000000000000002</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91.964950458389495</v>
      </c>
      <c r="BW112" s="114">
        <f t="shared" si="65"/>
        <v>0.56787133444026949</v>
      </c>
      <c r="BX112" s="1689">
        <f t="shared" si="25"/>
        <v>43.370376757557132</v>
      </c>
      <c r="BY112" s="527">
        <f t="shared" si="66"/>
        <v>91.964950458389495</v>
      </c>
      <c r="BZ112" s="417">
        <f t="shared" si="67"/>
        <v>0.56787133444026949</v>
      </c>
      <c r="CA112" s="544">
        <f t="shared" si="26"/>
        <v>43.370376757557132</v>
      </c>
      <c r="CB112" s="649">
        <f t="shared" si="27"/>
        <v>0.26236415346842734</v>
      </c>
      <c r="CC112" s="525">
        <f t="shared" si="68"/>
        <v>0.33276731563826367</v>
      </c>
      <c r="CD112" s="417">
        <f t="shared" si="28"/>
        <v>0.26236415346842734</v>
      </c>
      <c r="CE112" s="525">
        <f t="shared" si="69"/>
        <v>0.33276731563826367</v>
      </c>
      <c r="CG112" s="527">
        <f t="shared" si="70"/>
        <v>1472.9947553830873</v>
      </c>
      <c r="CH112" s="528">
        <f t="shared" si="71"/>
        <v>570.16242650126708</v>
      </c>
      <c r="CI112" s="528">
        <f t="shared" si="72"/>
        <v>2358.6277259554108</v>
      </c>
      <c r="CJ112" s="528">
        <f t="shared" si="73"/>
        <v>3354.7485930529324</v>
      </c>
      <c r="CK112" s="528">
        <f t="shared" si="74"/>
        <v>45.424859010686319</v>
      </c>
      <c r="CL112" s="528">
        <f t="shared" si="75"/>
        <v>7801.958359903384</v>
      </c>
      <c r="CM112" s="646">
        <f t="shared" si="76"/>
        <v>0</v>
      </c>
    </row>
    <row r="113" spans="1:91">
      <c r="A113" s="873">
        <f>'Input data'!A133</f>
        <v>2033</v>
      </c>
      <c r="B113" s="1551">
        <f>'Input data'!B133</f>
        <v>67.659204065895452</v>
      </c>
      <c r="C113" s="1550">
        <f>'Input data'!C133</f>
        <v>5403.9196893114931</v>
      </c>
      <c r="D113" s="1552">
        <f>'Input data'!D133</f>
        <v>42244930.407056943</v>
      </c>
      <c r="E113" s="1454">
        <f t="shared" si="29"/>
        <v>0.85307878787878766</v>
      </c>
      <c r="F113" s="1504">
        <f t="shared" si="30"/>
        <v>0.32724848484848479</v>
      </c>
      <c r="G113" s="1509">
        <f>B113*F113*'Input data'!$C$9</f>
        <v>677.68297583118044</v>
      </c>
      <c r="H113" s="1508">
        <f>'Input data'!I133</f>
        <v>424.26313389388866</v>
      </c>
      <c r="I113" s="1509">
        <f>'Input data'!K133</f>
        <v>28705.305953762938</v>
      </c>
      <c r="J113" s="1509">
        <f t="shared" si="87"/>
        <v>4780.5770002171175</v>
      </c>
      <c r="K113" s="1511">
        <f t="shared" si="78"/>
        <v>8559.3082351461071</v>
      </c>
      <c r="L113" s="1504">
        <f t="shared" si="89"/>
        <v>0.57999999999999996</v>
      </c>
      <c r="M113" s="1504">
        <f t="shared" si="90"/>
        <v>0.437</v>
      </c>
      <c r="N113" s="1504">
        <f t="shared" si="91"/>
        <v>0.71200000000000008</v>
      </c>
      <c r="O113" s="1504">
        <f t="shared" si="92"/>
        <v>0.8</v>
      </c>
      <c r="P113" s="1504">
        <f t="shared" si="92"/>
        <v>0.23600000000000002</v>
      </c>
      <c r="Q113" s="1508">
        <f t="shared" si="36"/>
        <v>0</v>
      </c>
      <c r="R113" s="1509">
        <f t="shared" si="37"/>
        <v>0</v>
      </c>
      <c r="S113" s="1509">
        <f t="shared" si="38"/>
        <v>0</v>
      </c>
      <c r="T113" s="1509">
        <f t="shared" si="39"/>
        <v>0</v>
      </c>
      <c r="U113" s="1511">
        <f t="shared" si="40"/>
        <v>0</v>
      </c>
      <c r="V113" s="1509">
        <f t="shared" si="10"/>
        <v>0</v>
      </c>
      <c r="W113" s="1454">
        <f t="shared" si="86"/>
        <v>0.5</v>
      </c>
      <c r="X113" s="530">
        <f t="shared" si="41"/>
        <v>3033.4854703020706</v>
      </c>
      <c r="Y113" s="528">
        <f t="shared" si="79"/>
        <v>3033.4854703020706</v>
      </c>
      <c r="Z113" s="528">
        <f t="shared" si="80"/>
        <v>10306.399765061155</v>
      </c>
      <c r="AA113" s="530">
        <f t="shared" si="81"/>
        <v>5525.822764844037</v>
      </c>
      <c r="AB113" s="1091">
        <f t="shared" si="42"/>
        <v>0.53615451474885112</v>
      </c>
      <c r="AC113" s="135" t="str">
        <f t="shared" si="43"/>
        <v>Yes</v>
      </c>
      <c r="AD113" s="1091">
        <f t="shared" si="44"/>
        <v>0.53615451474885112</v>
      </c>
      <c r="AE113" s="649">
        <f t="shared" si="11"/>
        <v>0.27873582031809607</v>
      </c>
      <c r="AF113" s="530">
        <f t="shared" si="45"/>
        <v>306.00580123724939</v>
      </c>
      <c r="AG113" s="527">
        <f t="shared" si="46"/>
        <v>4780.5770002171175</v>
      </c>
      <c r="AH113" s="528">
        <f t="shared" si="82"/>
        <v>7868.5423921446545</v>
      </c>
      <c r="AI113" s="528">
        <f t="shared" si="83"/>
        <v>6437.6604656145792</v>
      </c>
      <c r="AJ113" s="528">
        <f t="shared" si="12"/>
        <v>1617.3290932825464</v>
      </c>
      <c r="AK113" s="528">
        <f t="shared" si="47"/>
        <v>20704.108951258899</v>
      </c>
      <c r="AL113" s="716">
        <f t="shared" si="13"/>
        <v>0</v>
      </c>
      <c r="AM113" s="649">
        <f t="shared" si="48"/>
        <v>0.23089991515555844</v>
      </c>
      <c r="AN113" s="417">
        <f t="shared" si="49"/>
        <v>0.38004738144822281</v>
      </c>
      <c r="AO113" s="417">
        <f t="shared" si="50"/>
        <v>0.31093636923810442</v>
      </c>
      <c r="AP113" s="417">
        <f t="shared" si="51"/>
        <v>7.8116334158114337E-2</v>
      </c>
      <c r="AQ113" s="525">
        <f t="shared" si="52"/>
        <v>1</v>
      </c>
      <c r="AR113" s="1086">
        <f t="shared" si="14"/>
        <v>864.78866228035815</v>
      </c>
      <c r="AS113" s="938">
        <f t="shared" si="15"/>
        <v>1096.7859807681471</v>
      </c>
      <c r="AT113" s="938">
        <f t="shared" si="16"/>
        <v>365.06020041085003</v>
      </c>
      <c r="AU113" s="938">
        <f t="shared" si="17"/>
        <v>0</v>
      </c>
      <c r="AV113" s="938">
        <f t="shared" si="18"/>
        <v>0</v>
      </c>
      <c r="AW113" s="938">
        <f t="shared" si="19"/>
        <v>0</v>
      </c>
      <c r="AX113" s="938">
        <f t="shared" si="20"/>
        <v>1553.8195472773198</v>
      </c>
      <c r="AY113" s="938">
        <f t="shared" si="21"/>
        <v>224.64687949169274</v>
      </c>
      <c r="AZ113" s="938">
        <f t="shared" si="22"/>
        <v>326.52307972156382</v>
      </c>
      <c r="BA113" s="938">
        <f t="shared" si="23"/>
        <v>287.03970736953426</v>
      </c>
      <c r="BB113" s="938">
        <f t="shared" si="24"/>
        <v>61.912942897650645</v>
      </c>
      <c r="BC113" s="530">
        <f t="shared" si="53"/>
        <v>4780.5770002171157</v>
      </c>
      <c r="BD113" s="724">
        <f t="shared" si="54"/>
        <v>0</v>
      </c>
      <c r="BE113" s="436">
        <f t="shared" si="55"/>
        <v>0.18089629394968071</v>
      </c>
      <c r="BF113" s="624">
        <f t="shared" si="56"/>
        <v>0.22942543979907346</v>
      </c>
      <c r="BG113" s="624">
        <f t="shared" si="57"/>
        <v>7.6363208958724102E-2</v>
      </c>
      <c r="BH113" s="624">
        <f t="shared" si="58"/>
        <v>0</v>
      </c>
      <c r="BI113" s="624">
        <f t="shared" si="59"/>
        <v>0</v>
      </c>
      <c r="BJ113" s="624">
        <f t="shared" si="60"/>
        <v>0</v>
      </c>
      <c r="BK113" s="624">
        <f t="shared" si="61"/>
        <v>0.51331505729252191</v>
      </c>
      <c r="BL113" s="624">
        <f t="shared" si="62"/>
        <v>1.0000000000000002</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91.409803082001517</v>
      </c>
      <c r="BW113" s="114">
        <f t="shared" si="65"/>
        <v>0.57798266679060006</v>
      </c>
      <c r="BX113" s="1689">
        <f t="shared" si="25"/>
        <v>42.244930407056941</v>
      </c>
      <c r="BY113" s="527">
        <f t="shared" si="66"/>
        <v>91.409803082001517</v>
      </c>
      <c r="BZ113" s="417">
        <f t="shared" si="67"/>
        <v>0.57798266679060006</v>
      </c>
      <c r="CA113" s="544">
        <f t="shared" si="26"/>
        <v>42.244930407056941</v>
      </c>
      <c r="CB113" s="649">
        <f t="shared" si="27"/>
        <v>0.27873582031809607</v>
      </c>
      <c r="CC113" s="525">
        <f t="shared" si="68"/>
        <v>0.34079928228707201</v>
      </c>
      <c r="CD113" s="417">
        <f t="shared" si="28"/>
        <v>0.27873582031809607</v>
      </c>
      <c r="CE113" s="525">
        <f t="shared" si="69"/>
        <v>0.34079928228707201</v>
      </c>
      <c r="CG113" s="527">
        <f t="shared" si="70"/>
        <v>1485.5656928015312</v>
      </c>
      <c r="CH113" s="528">
        <f t="shared" si="71"/>
        <v>575.02834754796584</v>
      </c>
      <c r="CI113" s="528">
        <f t="shared" si="72"/>
        <v>2378.756895749149</v>
      </c>
      <c r="CJ113" s="528">
        <f t="shared" si="73"/>
        <v>3383.3789289477218</v>
      </c>
      <c r="CK113" s="528">
        <f t="shared" si="74"/>
        <v>45.81252709828685</v>
      </c>
      <c r="CL113" s="528">
        <f t="shared" si="75"/>
        <v>7868.5423921446545</v>
      </c>
      <c r="CM113" s="646">
        <f t="shared" si="76"/>
        <v>0</v>
      </c>
    </row>
    <row r="114" spans="1:91">
      <c r="A114" s="873">
        <f>'Input data'!A134</f>
        <v>2034</v>
      </c>
      <c r="B114" s="1551">
        <f>'Input data'!B134</f>
        <v>68.236626094715163</v>
      </c>
      <c r="C114" s="1550">
        <f>'Input data'!C134</f>
        <v>5610.4237500420486</v>
      </c>
      <c r="D114" s="1552">
        <f>'Input data'!D134</f>
        <v>40465875.003352016</v>
      </c>
      <c r="E114" s="1454">
        <f t="shared" si="29"/>
        <v>0.86172121212121189</v>
      </c>
      <c r="F114" s="1504">
        <f t="shared" si="30"/>
        <v>0.32960151515151509</v>
      </c>
      <c r="G114" s="1509">
        <f>B114*F114*'Input data'!$C$9</f>
        <v>688.38086809685626</v>
      </c>
      <c r="H114" s="1508">
        <f>'Input data'!I134</f>
        <v>424.26313389388866</v>
      </c>
      <c r="I114" s="1509">
        <f>'Input data'!K134</f>
        <v>28950.284833289355</v>
      </c>
      <c r="J114" s="1509">
        <f t="shared" si="87"/>
        <v>4516.7640866293577</v>
      </c>
      <c r="K114" s="1511">
        <f t="shared" si="78"/>
        <v>8936.9673534471767</v>
      </c>
      <c r="L114" s="1504">
        <f t="shared" si="89"/>
        <v>0.57999999999999996</v>
      </c>
      <c r="M114" s="1504">
        <f t="shared" si="90"/>
        <v>0.437</v>
      </c>
      <c r="N114" s="1504">
        <f t="shared" si="91"/>
        <v>0.71200000000000008</v>
      </c>
      <c r="O114" s="1504">
        <f t="shared" si="92"/>
        <v>0.8</v>
      </c>
      <c r="P114" s="1504">
        <f t="shared" si="92"/>
        <v>0.23600000000000002</v>
      </c>
      <c r="Q114" s="1508">
        <f t="shared" si="36"/>
        <v>0</v>
      </c>
      <c r="R114" s="1509">
        <f t="shared" si="37"/>
        <v>0</v>
      </c>
      <c r="S114" s="1509">
        <f t="shared" si="38"/>
        <v>0</v>
      </c>
      <c r="T114" s="1509">
        <f t="shared" si="39"/>
        <v>0</v>
      </c>
      <c r="U114" s="1511">
        <f t="shared" si="40"/>
        <v>0</v>
      </c>
      <c r="V114" s="1509">
        <f t="shared" si="10"/>
        <v>0</v>
      </c>
      <c r="W114" s="1454">
        <f t="shared" si="86"/>
        <v>0.5</v>
      </c>
      <c r="X114" s="530">
        <f t="shared" si="41"/>
        <v>3033.4854703020706</v>
      </c>
      <c r="Y114" s="528">
        <f t="shared" si="79"/>
        <v>3033.4854703020706</v>
      </c>
      <c r="Z114" s="528">
        <f t="shared" si="80"/>
        <v>10420.245969774463</v>
      </c>
      <c r="AA114" s="530">
        <f t="shared" si="81"/>
        <v>5903.4818831451057</v>
      </c>
      <c r="AB114" s="1091">
        <f t="shared" si="42"/>
        <v>0.56653959035795021</v>
      </c>
      <c r="AC114" s="135" t="str">
        <f t="shared" si="43"/>
        <v>Yes</v>
      </c>
      <c r="AD114" s="1091">
        <f t="shared" si="44"/>
        <v>0.56653959035795021</v>
      </c>
      <c r="AE114" s="649">
        <f t="shared" si="11"/>
        <v>0.29484629303664733</v>
      </c>
      <c r="AF114" s="530">
        <f t="shared" si="45"/>
        <v>299.17072159316484</v>
      </c>
      <c r="AG114" s="527">
        <f t="shared" si="46"/>
        <v>4516.7640866293577</v>
      </c>
      <c r="AH114" s="528">
        <f t="shared" si="82"/>
        <v>7935.6946706062963</v>
      </c>
      <c r="AI114" s="528">
        <f t="shared" si="83"/>
        <v>6437.6604656145792</v>
      </c>
      <c r="AJ114" s="528">
        <f t="shared" si="12"/>
        <v>1524.2814449886839</v>
      </c>
      <c r="AK114" s="528">
        <f t="shared" si="47"/>
        <v>20414.400667838916</v>
      </c>
      <c r="AL114" s="716">
        <f t="shared" si="13"/>
        <v>0</v>
      </c>
      <c r="AM114" s="649">
        <f t="shared" si="48"/>
        <v>0.22125381783777373</v>
      </c>
      <c r="AN114" s="417">
        <f t="shared" si="49"/>
        <v>0.38873023018051578</v>
      </c>
      <c r="AO114" s="417">
        <f t="shared" si="50"/>
        <v>0.3153489818467482</v>
      </c>
      <c r="AP114" s="417">
        <f t="shared" si="51"/>
        <v>7.466697013496236E-2</v>
      </c>
      <c r="AQ114" s="525">
        <f t="shared" si="52"/>
        <v>1</v>
      </c>
      <c r="AR114" s="1086">
        <f t="shared" si="14"/>
        <v>819.98316374890089</v>
      </c>
      <c r="AS114" s="938">
        <f t="shared" si="15"/>
        <v>1039.9604871023907</v>
      </c>
      <c r="AT114" s="938">
        <f t="shared" si="16"/>
        <v>344.05767638837415</v>
      </c>
      <c r="AU114" s="938">
        <f t="shared" si="17"/>
        <v>0</v>
      </c>
      <c r="AV114" s="938">
        <f t="shared" si="18"/>
        <v>0</v>
      </c>
      <c r="AW114" s="938">
        <f t="shared" si="19"/>
        <v>0</v>
      </c>
      <c r="AX114" s="938">
        <f t="shared" si="20"/>
        <v>1464.4257094074096</v>
      </c>
      <c r="AY114" s="938">
        <f t="shared" si="21"/>
        <v>211.72256871284435</v>
      </c>
      <c r="AZ114" s="938">
        <f t="shared" si="22"/>
        <v>307.73766071936387</v>
      </c>
      <c r="BA114" s="938">
        <f t="shared" si="23"/>
        <v>270.52583282870961</v>
      </c>
      <c r="BB114" s="938">
        <f t="shared" si="24"/>
        <v>58.35098772136287</v>
      </c>
      <c r="BC114" s="530">
        <f t="shared" si="53"/>
        <v>4516.7640866293568</v>
      </c>
      <c r="BD114" s="724">
        <f t="shared" si="54"/>
        <v>0</v>
      </c>
      <c r="BE114" s="436">
        <f t="shared" si="55"/>
        <v>0.18154217223260266</v>
      </c>
      <c r="BF114" s="624">
        <f t="shared" si="56"/>
        <v>0.23024458819554225</v>
      </c>
      <c r="BG114" s="624">
        <f t="shared" si="57"/>
        <v>7.6173488318077687E-2</v>
      </c>
      <c r="BH114" s="624">
        <f t="shared" si="58"/>
        <v>0</v>
      </c>
      <c r="BI114" s="624">
        <f t="shared" si="59"/>
        <v>0</v>
      </c>
      <c r="BJ114" s="624">
        <f t="shared" si="60"/>
        <v>0</v>
      </c>
      <c r="BK114" s="624">
        <f t="shared" si="61"/>
        <v>0.51203975125377732</v>
      </c>
      <c r="BL114" s="624">
        <f t="shared" si="62"/>
        <v>0.99999999999999989</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90.399898463030297</v>
      </c>
      <c r="BW114" s="114">
        <f t="shared" si="65"/>
        <v>0.59193024863410437</v>
      </c>
      <c r="BX114" s="1689">
        <f t="shared" si="25"/>
        <v>40.465875003352018</v>
      </c>
      <c r="BY114" s="527">
        <f t="shared" si="66"/>
        <v>90.399898463030297</v>
      </c>
      <c r="BZ114" s="417">
        <f t="shared" si="67"/>
        <v>0.59193024863410437</v>
      </c>
      <c r="CA114" s="544">
        <f t="shared" si="26"/>
        <v>40.465875003352018</v>
      </c>
      <c r="CB114" s="649">
        <f t="shared" si="27"/>
        <v>0.29484629303664733</v>
      </c>
      <c r="CC114" s="525">
        <f t="shared" si="68"/>
        <v>0.35177689426581371</v>
      </c>
      <c r="CD114" s="417">
        <f t="shared" si="28"/>
        <v>0.29484629303664733</v>
      </c>
      <c r="CE114" s="525">
        <f t="shared" si="69"/>
        <v>0.35177689426581371</v>
      </c>
      <c r="CG114" s="527">
        <f t="shared" si="70"/>
        <v>1498.2439140151146</v>
      </c>
      <c r="CH114" s="528">
        <f t="shared" si="71"/>
        <v>579.93579568682685</v>
      </c>
      <c r="CI114" s="528">
        <f t="shared" si="72"/>
        <v>2399.0578533465009</v>
      </c>
      <c r="CJ114" s="528">
        <f t="shared" si="73"/>
        <v>3412.2536039071865</v>
      </c>
      <c r="CK114" s="528">
        <f t="shared" si="74"/>
        <v>46.203503650666732</v>
      </c>
      <c r="CL114" s="528">
        <f t="shared" si="75"/>
        <v>7935.6946706062954</v>
      </c>
      <c r="CM114" s="646">
        <f t="shared" si="76"/>
        <v>0</v>
      </c>
    </row>
    <row r="115" spans="1:91">
      <c r="A115" s="873">
        <f>'Input data'!A135</f>
        <v>2035</v>
      </c>
      <c r="B115" s="1551">
        <f>'Input data'!B135</f>
        <v>68.818976000000006</v>
      </c>
      <c r="C115" s="1550">
        <f>'Input data'!C135</f>
        <v>5785.6697548645852</v>
      </c>
      <c r="D115" s="1552">
        <f>'Input data'!D135</f>
        <v>33374025.316822052</v>
      </c>
      <c r="E115" s="1454">
        <f t="shared" si="29"/>
        <v>0.87036363636363612</v>
      </c>
      <c r="F115" s="1504">
        <f t="shared" si="30"/>
        <v>0.33195454545454539</v>
      </c>
      <c r="G115" s="1509">
        <f>B115*F115*'Input data'!$C$9</f>
        <v>699.21199957882664</v>
      </c>
      <c r="H115" s="1508">
        <f>'Input data'!I135</f>
        <v>424.26313389388866</v>
      </c>
      <c r="I115" s="1509">
        <f>'Input data'!K135</f>
        <v>29197.354429128314</v>
      </c>
      <c r="J115" s="1509">
        <f t="shared" si="87"/>
        <v>4252.9511730415979</v>
      </c>
      <c r="K115" s="1511">
        <f t="shared" si="78"/>
        <v>9315.5980661884496</v>
      </c>
      <c r="L115" s="1504">
        <f t="shared" si="89"/>
        <v>0.57999999999999996</v>
      </c>
      <c r="M115" s="1504">
        <f t="shared" si="90"/>
        <v>0.437</v>
      </c>
      <c r="N115" s="1504">
        <f t="shared" si="91"/>
        <v>0.71200000000000008</v>
      </c>
      <c r="O115" s="1504">
        <f t="shared" si="92"/>
        <v>0.8</v>
      </c>
      <c r="P115" s="1504">
        <f t="shared" si="92"/>
        <v>0.23600000000000002</v>
      </c>
      <c r="Q115" s="1508">
        <f t="shared" si="36"/>
        <v>0</v>
      </c>
      <c r="R115" s="1509">
        <f t="shared" si="37"/>
        <v>0</v>
      </c>
      <c r="S115" s="1509">
        <f t="shared" si="38"/>
        <v>0</v>
      </c>
      <c r="T115" s="1509">
        <f t="shared" si="39"/>
        <v>0</v>
      </c>
      <c r="U115" s="1511">
        <f t="shared" si="40"/>
        <v>0</v>
      </c>
      <c r="V115" s="1509">
        <f t="shared" si="10"/>
        <v>0</v>
      </c>
      <c r="W115" s="1454">
        <f t="shared" si="86"/>
        <v>0.5</v>
      </c>
      <c r="X115" s="530">
        <f t="shared" si="41"/>
        <v>3033.4854703020706</v>
      </c>
      <c r="Y115" s="528">
        <f t="shared" si="79"/>
        <v>3033.4854703020706</v>
      </c>
      <c r="Z115" s="528">
        <f t="shared" si="80"/>
        <v>10535.063768927977</v>
      </c>
      <c r="AA115" s="530">
        <f t="shared" si="81"/>
        <v>6282.1125958863795</v>
      </c>
      <c r="AB115" s="1091">
        <f t="shared" si="42"/>
        <v>0.59630513242974248</v>
      </c>
      <c r="AC115" s="135" t="str">
        <f t="shared" si="43"/>
        <v>Yes</v>
      </c>
      <c r="AD115" s="1091">
        <f t="shared" si="44"/>
        <v>0.59630513242974248</v>
      </c>
      <c r="AE115" s="649">
        <f t="shared" si="11"/>
        <v>0.31069930485615582</v>
      </c>
      <c r="AF115" s="530">
        <f t="shared" si="45"/>
        <v>292.44487311696332</v>
      </c>
      <c r="AG115" s="527">
        <f t="shared" si="46"/>
        <v>4252.9511730415979</v>
      </c>
      <c r="AH115" s="528">
        <f t="shared" si="82"/>
        <v>8003.4200448559322</v>
      </c>
      <c r="AI115" s="528">
        <f t="shared" si="83"/>
        <v>6437.6604656145792</v>
      </c>
      <c r="AJ115" s="528">
        <f t="shared" si="12"/>
        <v>1431.7250208472356</v>
      </c>
      <c r="AK115" s="528">
        <f t="shared" si="47"/>
        <v>20125.756704359344</v>
      </c>
      <c r="AL115" s="716">
        <f t="shared" si="13"/>
        <v>0</v>
      </c>
      <c r="AM115" s="649">
        <f t="shared" si="48"/>
        <v>0.21131882072888153</v>
      </c>
      <c r="AN115" s="417">
        <f t="shared" si="49"/>
        <v>0.39767051556984934</v>
      </c>
      <c r="AO115" s="417">
        <f t="shared" si="50"/>
        <v>0.3198717225981445</v>
      </c>
      <c r="AP115" s="417">
        <f t="shared" si="51"/>
        <v>7.1138941103124659E-2</v>
      </c>
      <c r="AQ115" s="525">
        <f t="shared" si="52"/>
        <v>1</v>
      </c>
      <c r="AR115" s="1086">
        <f t="shared" si="14"/>
        <v>774.80019568736827</v>
      </c>
      <c r="AS115" s="938">
        <f t="shared" si="15"/>
        <v>982.65625995317077</v>
      </c>
      <c r="AT115" s="938">
        <f t="shared" si="16"/>
        <v>323.16603047244564</v>
      </c>
      <c r="AU115" s="938">
        <f t="shared" si="17"/>
        <v>0</v>
      </c>
      <c r="AV115" s="938">
        <f t="shared" si="18"/>
        <v>0</v>
      </c>
      <c r="AW115" s="938">
        <f t="shared" si="19"/>
        <v>0</v>
      </c>
      <c r="AX115" s="938">
        <f t="shared" si="20"/>
        <v>1375.5038062187505</v>
      </c>
      <c r="AY115" s="938">
        <f t="shared" si="21"/>
        <v>198.86648892880652</v>
      </c>
      <c r="AZ115" s="938">
        <f t="shared" si="22"/>
        <v>289.05141511591495</v>
      </c>
      <c r="BA115" s="938">
        <f t="shared" si="23"/>
        <v>254.09913957804258</v>
      </c>
      <c r="BB115" s="938">
        <f t="shared" si="24"/>
        <v>54.80783708709729</v>
      </c>
      <c r="BC115" s="530">
        <f t="shared" si="53"/>
        <v>4252.9511730415961</v>
      </c>
      <c r="BD115" s="724">
        <f t="shared" si="54"/>
        <v>0</v>
      </c>
      <c r="BE115" s="436">
        <f t="shared" si="55"/>
        <v>0.18217942416048291</v>
      </c>
      <c r="BF115" s="624">
        <f t="shared" si="56"/>
        <v>0.23105279604007339</v>
      </c>
      <c r="BG115" s="624">
        <f t="shared" si="57"/>
        <v>7.5986301587686933E-2</v>
      </c>
      <c r="BH115" s="624">
        <f t="shared" si="58"/>
        <v>0</v>
      </c>
      <c r="BI115" s="624">
        <f t="shared" si="59"/>
        <v>0</v>
      </c>
      <c r="BJ115" s="624">
        <f t="shared" si="60"/>
        <v>0</v>
      </c>
      <c r="BK115" s="624">
        <f t="shared" si="61"/>
        <v>0.51078147821175679</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85.849150609595696</v>
      </c>
      <c r="BW115" s="114">
        <f t="shared" si="65"/>
        <v>0.61696376678633957</v>
      </c>
      <c r="BX115" s="1689">
        <f t="shared" si="25"/>
        <v>33.374025316822049</v>
      </c>
      <c r="BY115" s="527">
        <f t="shared" si="66"/>
        <v>85.849150609595696</v>
      </c>
      <c r="BZ115" s="417">
        <f t="shared" si="67"/>
        <v>0.61696376678633957</v>
      </c>
      <c r="CA115" s="544">
        <f t="shared" si="26"/>
        <v>33.374025316822049</v>
      </c>
      <c r="CB115" s="649">
        <f t="shared" si="27"/>
        <v>0.31069930485615582</v>
      </c>
      <c r="CC115" s="525">
        <f t="shared" si="68"/>
        <v>0.36179529647693132</v>
      </c>
      <c r="CD115" s="417">
        <f t="shared" si="28"/>
        <v>0.31069930485615582</v>
      </c>
      <c r="CE115" s="525">
        <f t="shared" si="69"/>
        <v>0.36179529647693132</v>
      </c>
      <c r="CG115" s="527">
        <f t="shared" si="70"/>
        <v>1511.0303346128921</v>
      </c>
      <c r="CH115" s="528">
        <f t="shared" si="71"/>
        <v>584.88512532133632</v>
      </c>
      <c r="CI115" s="528">
        <f t="shared" si="72"/>
        <v>2419.532064831254</v>
      </c>
      <c r="CJ115" s="528">
        <f t="shared" si="73"/>
        <v>3441.3747031872863</v>
      </c>
      <c r="CK115" s="528">
        <f t="shared" si="74"/>
        <v>46.597816903163221</v>
      </c>
      <c r="CL115" s="528">
        <f t="shared" si="75"/>
        <v>8003.4200448559322</v>
      </c>
      <c r="CM115" s="646">
        <f t="shared" si="76"/>
        <v>0</v>
      </c>
    </row>
    <row r="116" spans="1:91">
      <c r="A116" s="873">
        <f>'Input data'!A136</f>
        <v>2036</v>
      </c>
      <c r="B116" s="1551">
        <f>'Input data'!B136</f>
        <v>69.322810489383542</v>
      </c>
      <c r="C116" s="1550">
        <f>'Input data'!C136</f>
        <v>5959.8602057408698</v>
      </c>
      <c r="D116" s="1552">
        <f>'Input data'!D136</f>
        <v>24482482.614495005</v>
      </c>
      <c r="E116" s="1454">
        <f t="shared" si="29"/>
        <v>0.87900606060606035</v>
      </c>
      <c r="F116" s="1504">
        <f t="shared" si="30"/>
        <v>0.33430757575757569</v>
      </c>
      <c r="G116" s="1509">
        <f>B116*F116*'Input data'!$C$9</f>
        <v>709.32362801394981</v>
      </c>
      <c r="H116" s="1508">
        <f>'Input data'!I136</f>
        <v>424.26313389388866</v>
      </c>
      <c r="I116" s="1509">
        <f>'Input data'!K136</f>
        <v>29411.112828557998</v>
      </c>
      <c r="J116" s="1509">
        <f t="shared" si="87"/>
        <v>3989.1382594538386</v>
      </c>
      <c r="K116" s="1511">
        <f t="shared" si="78"/>
        <v>9678.7484514297066</v>
      </c>
      <c r="L116" s="1504">
        <f t="shared" si="89"/>
        <v>0.57999999999999996</v>
      </c>
      <c r="M116" s="1504">
        <f t="shared" si="90"/>
        <v>0.437</v>
      </c>
      <c r="N116" s="1504">
        <f t="shared" si="91"/>
        <v>0.71200000000000008</v>
      </c>
      <c r="O116" s="1504">
        <f t="shared" si="92"/>
        <v>0.8</v>
      </c>
      <c r="P116" s="1504">
        <f t="shared" si="92"/>
        <v>0.23600000000000002</v>
      </c>
      <c r="Q116" s="1508">
        <f t="shared" si="36"/>
        <v>0</v>
      </c>
      <c r="R116" s="1509">
        <f t="shared" si="37"/>
        <v>0</v>
      </c>
      <c r="S116" s="1509">
        <f t="shared" si="38"/>
        <v>0</v>
      </c>
      <c r="T116" s="1509">
        <f t="shared" si="39"/>
        <v>0</v>
      </c>
      <c r="U116" s="1511">
        <f t="shared" si="40"/>
        <v>0</v>
      </c>
      <c r="V116" s="1509">
        <f t="shared" si="10"/>
        <v>0</v>
      </c>
      <c r="W116" s="1454">
        <f t="shared" si="86"/>
        <v>0.5</v>
      </c>
      <c r="X116" s="530">
        <f t="shared" si="41"/>
        <v>3033.4854703020706</v>
      </c>
      <c r="Y116" s="528">
        <f t="shared" si="79"/>
        <v>3033.4854703020706</v>
      </c>
      <c r="Z116" s="528">
        <f t="shared" si="80"/>
        <v>10634.401240581476</v>
      </c>
      <c r="AA116" s="530">
        <f t="shared" si="81"/>
        <v>6645.2629811276365</v>
      </c>
      <c r="AB116" s="1091">
        <f t="shared" si="42"/>
        <v>0.62488360470817461</v>
      </c>
      <c r="AC116" s="135" t="str">
        <f t="shared" si="43"/>
        <v>Yes</v>
      </c>
      <c r="AD116" s="1091">
        <f t="shared" si="44"/>
        <v>0.62488360470817461</v>
      </c>
      <c r="AE116" s="649">
        <f t="shared" si="11"/>
        <v>0.32580167937132221</v>
      </c>
      <c r="AF116" s="530">
        <f t="shared" si="45"/>
        <v>286.03749237591961</v>
      </c>
      <c r="AG116" s="527">
        <f t="shared" si="46"/>
        <v>3989.1382594538386</v>
      </c>
      <c r="AH116" s="528">
        <f t="shared" si="82"/>
        <v>8062.0143350648113</v>
      </c>
      <c r="AI116" s="528">
        <f t="shared" si="83"/>
        <v>6437.6604656145792</v>
      </c>
      <c r="AJ116" s="528">
        <f t="shared" si="12"/>
        <v>1340.1098167011321</v>
      </c>
      <c r="AK116" s="528">
        <f t="shared" si="47"/>
        <v>19828.922876834364</v>
      </c>
      <c r="AL116" s="716">
        <f t="shared" si="13"/>
        <v>0</v>
      </c>
      <c r="AM116" s="649">
        <f t="shared" si="48"/>
        <v>0.20117775858184658</v>
      </c>
      <c r="AN116" s="417">
        <f t="shared" si="49"/>
        <v>0.40657853102467112</v>
      </c>
      <c r="AO116" s="417">
        <f t="shared" si="50"/>
        <v>0.32466011924104748</v>
      </c>
      <c r="AP116" s="417">
        <f t="shared" si="51"/>
        <v>6.7583591152434661E-2</v>
      </c>
      <c r="AQ116" s="525">
        <f t="shared" si="52"/>
        <v>0.99999999999999989</v>
      </c>
      <c r="AR116" s="1086">
        <f t="shared" si="14"/>
        <v>728.89396948066099</v>
      </c>
      <c r="AS116" s="938">
        <f t="shared" si="15"/>
        <v>924.43474580805946</v>
      </c>
      <c r="AT116" s="938">
        <f t="shared" si="16"/>
        <v>302.48683480029143</v>
      </c>
      <c r="AU116" s="938">
        <f t="shared" si="17"/>
        <v>0</v>
      </c>
      <c r="AV116" s="938">
        <f t="shared" si="18"/>
        <v>0</v>
      </c>
      <c r="AW116" s="938">
        <f t="shared" si="19"/>
        <v>0</v>
      </c>
      <c r="AX116" s="938">
        <f t="shared" si="20"/>
        <v>1287.4861630431762</v>
      </c>
      <c r="AY116" s="938">
        <f t="shared" si="21"/>
        <v>186.14114452555648</v>
      </c>
      <c r="AZ116" s="938">
        <f t="shared" si="22"/>
        <v>270.55519271358941</v>
      </c>
      <c r="BA116" s="938">
        <f t="shared" si="23"/>
        <v>237.83949180572398</v>
      </c>
      <c r="BB116" s="938">
        <f t="shared" si="24"/>
        <v>51.300717276779636</v>
      </c>
      <c r="BC116" s="530">
        <f t="shared" si="53"/>
        <v>3989.1382594538381</v>
      </c>
      <c r="BD116" s="724">
        <f t="shared" si="54"/>
        <v>0</v>
      </c>
      <c r="BE116" s="436">
        <f t="shared" si="55"/>
        <v>0.18271965574350774</v>
      </c>
      <c r="BF116" s="624">
        <f t="shared" si="56"/>
        <v>0.23173795583977225</v>
      </c>
      <c r="BG116" s="624">
        <f t="shared" si="57"/>
        <v>7.5827613666543003E-2</v>
      </c>
      <c r="BH116" s="624">
        <f t="shared" si="58"/>
        <v>0</v>
      </c>
      <c r="BI116" s="624">
        <f t="shared" si="59"/>
        <v>0</v>
      </c>
      <c r="BJ116" s="624">
        <f t="shared" si="60"/>
        <v>0</v>
      </c>
      <c r="BK116" s="624">
        <f t="shared" si="61"/>
        <v>0.5097147747501769</v>
      </c>
      <c r="BL116" s="624">
        <f t="shared" si="62"/>
        <v>0.99999999999999989</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83.664000483985475</v>
      </c>
      <c r="BW116" s="114">
        <f t="shared" si="65"/>
        <v>0.62210335541681328</v>
      </c>
      <c r="BX116" s="1689">
        <f t="shared" si="25"/>
        <v>24.482482614495005</v>
      </c>
      <c r="BY116" s="527">
        <f t="shared" si="66"/>
        <v>83.664000483985475</v>
      </c>
      <c r="BZ116" s="417">
        <f t="shared" si="67"/>
        <v>0.62210335541681328</v>
      </c>
      <c r="CA116" s="544">
        <f t="shared" si="26"/>
        <v>24.482482614495005</v>
      </c>
      <c r="CB116" s="649">
        <f t="shared" si="27"/>
        <v>0.32580167937132221</v>
      </c>
      <c r="CC116" s="525">
        <f t="shared" si="68"/>
        <v>0.33633596727222892</v>
      </c>
      <c r="CD116" s="417">
        <f t="shared" si="28"/>
        <v>0.32580167937132221</v>
      </c>
      <c r="CE116" s="525">
        <f t="shared" si="69"/>
        <v>0.33633596727222892</v>
      </c>
      <c r="CG116" s="527">
        <f t="shared" si="70"/>
        <v>1522.0928240792091</v>
      </c>
      <c r="CH116" s="528">
        <f t="shared" si="71"/>
        <v>589.16716082364167</v>
      </c>
      <c r="CI116" s="528">
        <f t="shared" si="72"/>
        <v>2437.2458375911297</v>
      </c>
      <c r="CJ116" s="528">
        <f t="shared" si="73"/>
        <v>3466.5695457603251</v>
      </c>
      <c r="CK116" s="528">
        <f t="shared" si="74"/>
        <v>46.938966810505526</v>
      </c>
      <c r="CL116" s="528">
        <f t="shared" si="75"/>
        <v>8062.0143350648113</v>
      </c>
      <c r="CM116" s="646">
        <f t="shared" si="76"/>
        <v>0</v>
      </c>
    </row>
    <row r="117" spans="1:91" s="1" customFormat="1">
      <c r="A117" s="873">
        <f>'Input data'!A137</f>
        <v>2037</v>
      </c>
      <c r="B117" s="1551">
        <f>'Input data'!B137</f>
        <v>69.830333629884052</v>
      </c>
      <c r="C117" s="1550">
        <f>'Input data'!C137</f>
        <v>6149.2553125491713</v>
      </c>
      <c r="D117" s="1552">
        <f>'Input data'!D137</f>
        <v>21483552.95875904</v>
      </c>
      <c r="E117" s="1454">
        <f t="shared" si="29"/>
        <v>0.88764848484848458</v>
      </c>
      <c r="F117" s="1504">
        <f t="shared" si="30"/>
        <v>0.33666060606060599</v>
      </c>
      <c r="G117" s="1509">
        <f>B117*F117*'Input data'!$C$9</f>
        <v>719.54583678051574</v>
      </c>
      <c r="H117" s="1508">
        <f>'Input data'!I137</f>
        <v>424.26313389388866</v>
      </c>
      <c r="I117" s="1509">
        <f>'Input data'!K137</f>
        <v>29626.436186670413</v>
      </c>
      <c r="J117" s="1509">
        <f>J97*(1-$C$5)</f>
        <v>3900.4110186862777</v>
      </c>
      <c r="K117" s="1511">
        <f t="shared" si="78"/>
        <v>9867.5404290211609</v>
      </c>
      <c r="L117" s="1504">
        <f t="shared" si="89"/>
        <v>0.57999999999999996</v>
      </c>
      <c r="M117" s="1504">
        <f t="shared" si="90"/>
        <v>0.437</v>
      </c>
      <c r="N117" s="1504">
        <f t="shared" si="91"/>
        <v>0.71200000000000008</v>
      </c>
      <c r="O117" s="1504">
        <f t="shared" si="92"/>
        <v>0.8</v>
      </c>
      <c r="P117" s="1504">
        <f>P116</f>
        <v>0.23600000000000002</v>
      </c>
      <c r="Q117" s="1508">
        <f t="shared" si="36"/>
        <v>0</v>
      </c>
      <c r="R117" s="1509">
        <f t="shared" si="37"/>
        <v>0</v>
      </c>
      <c r="S117" s="1509">
        <f t="shared" si="38"/>
        <v>0</v>
      </c>
      <c r="T117" s="1509">
        <f t="shared" si="39"/>
        <v>0</v>
      </c>
      <c r="U117" s="1511">
        <f t="shared" si="40"/>
        <v>0</v>
      </c>
      <c r="V117" s="1509">
        <f t="shared" si="10"/>
        <v>0</v>
      </c>
      <c r="W117" s="1454">
        <f t="shared" si="86"/>
        <v>0.5</v>
      </c>
      <c r="X117" s="530">
        <f t="shared" si="41"/>
        <v>3033.4854703020706</v>
      </c>
      <c r="Y117" s="528">
        <f t="shared" si="79"/>
        <v>3033.4854703020706</v>
      </c>
      <c r="Z117" s="528">
        <f t="shared" si="80"/>
        <v>10734.465977405369</v>
      </c>
      <c r="AA117" s="530">
        <f t="shared" si="81"/>
        <v>6834.0549587190908</v>
      </c>
      <c r="AB117" s="1091">
        <f t="shared" si="42"/>
        <v>0.63664601230316187</v>
      </c>
      <c r="AC117" s="135" t="str">
        <f t="shared" si="43"/>
        <v>Yes</v>
      </c>
      <c r="AD117" s="1091">
        <f t="shared" si="44"/>
        <v>0.63664601230316187</v>
      </c>
      <c r="AE117" s="649">
        <f t="shared" si="11"/>
        <v>0.33280193124638935</v>
      </c>
      <c r="AF117" s="530">
        <f t="shared" si="45"/>
        <v>283.06754357735701</v>
      </c>
      <c r="AG117" s="527">
        <f t="shared" si="46"/>
        <v>3900.4110186862777</v>
      </c>
      <c r="AH117" s="528">
        <f t="shared" si="82"/>
        <v>8121.0376032388403</v>
      </c>
      <c r="AI117" s="528">
        <f t="shared" si="83"/>
        <v>6437.6604656145792</v>
      </c>
      <c r="AJ117" s="528">
        <f t="shared" si="12"/>
        <v>1307.5919202588843</v>
      </c>
      <c r="AK117" s="528">
        <f t="shared" si="47"/>
        <v>19766.701007798583</v>
      </c>
      <c r="AL117" s="716">
        <f t="shared" si="13"/>
        <v>0</v>
      </c>
      <c r="AM117" s="649">
        <f t="shared" si="48"/>
        <v>0.19732230568709686</v>
      </c>
      <c r="AN117" s="417">
        <f t="shared" si="49"/>
        <v>0.41084435890616428</v>
      </c>
      <c r="AO117" s="417">
        <f t="shared" si="50"/>
        <v>0.32568208843118129</v>
      </c>
      <c r="AP117" s="417">
        <f t="shared" si="51"/>
        <v>6.6151246975557451E-2</v>
      </c>
      <c r="AQ117" s="525">
        <f t="shared" si="52"/>
        <v>0.99999999999999978</v>
      </c>
      <c r="AR117" s="1086">
        <f t="shared" si="14"/>
        <v>714.76488212602555</v>
      </c>
      <c r="AS117" s="938">
        <f t="shared" si="15"/>
        <v>906.51524060692793</v>
      </c>
      <c r="AT117" s="938">
        <f t="shared" si="16"/>
        <v>295.14696201778139</v>
      </c>
      <c r="AU117" s="938">
        <f t="shared" si="17"/>
        <v>0</v>
      </c>
      <c r="AV117" s="938">
        <f t="shared" si="18"/>
        <v>0</v>
      </c>
      <c r="AW117" s="938">
        <f t="shared" si="19"/>
        <v>0</v>
      </c>
      <c r="AX117" s="938">
        <f t="shared" si="20"/>
        <v>1256.2451847301268</v>
      </c>
      <c r="AY117" s="938">
        <f t="shared" si="21"/>
        <v>181.62441135496931</v>
      </c>
      <c r="AZ117" s="938">
        <f t="shared" si="22"/>
        <v>263.9901443653651</v>
      </c>
      <c r="BA117" s="938">
        <f t="shared" si="23"/>
        <v>232.06829315615823</v>
      </c>
      <c r="BB117" s="938">
        <f t="shared" si="24"/>
        <v>50.055900328922448</v>
      </c>
      <c r="BC117" s="530">
        <f t="shared" si="53"/>
        <v>3900.4110186862763</v>
      </c>
      <c r="BD117" s="724">
        <f t="shared" si="54"/>
        <v>0</v>
      </c>
      <c r="BE117" s="436">
        <f t="shared" si="55"/>
        <v>0.18325373369670417</v>
      </c>
      <c r="BF117" s="624">
        <f t="shared" si="56"/>
        <v>0.23241531117206654</v>
      </c>
      <c r="BG117" s="624">
        <f t="shared" si="57"/>
        <v>7.5670733315995969E-2</v>
      </c>
      <c r="BH117" s="624">
        <f t="shared" si="58"/>
        <v>0</v>
      </c>
      <c r="BI117" s="624">
        <f t="shared" si="59"/>
        <v>0</v>
      </c>
      <c r="BJ117" s="624">
        <f t="shared" si="60"/>
        <v>0</v>
      </c>
      <c r="BK117" s="624">
        <f t="shared" si="61"/>
        <v>0.5086602218152334</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83.005097732884224</v>
      </c>
      <c r="BW117" s="114">
        <f t="shared" si="65"/>
        <v>0.63183477186118775</v>
      </c>
      <c r="BX117" s="1689">
        <f t="shared" si="25"/>
        <v>21.483552958759038</v>
      </c>
      <c r="BY117" s="527">
        <f t="shared" si="66"/>
        <v>83.005097732884224</v>
      </c>
      <c r="BZ117" s="417">
        <f t="shared" si="67"/>
        <v>0.63183477186118775</v>
      </c>
      <c r="CA117" s="544">
        <f t="shared" si="26"/>
        <v>21.483552958759038</v>
      </c>
      <c r="CB117" s="649">
        <f t="shared" si="27"/>
        <v>0.33280193124638935</v>
      </c>
      <c r="CC117" s="525">
        <f t="shared" si="68"/>
        <v>0.33757869913395289</v>
      </c>
      <c r="CD117" s="417">
        <f t="shared" si="28"/>
        <v>0.33280193124638935</v>
      </c>
      <c r="CE117" s="525">
        <f t="shared" si="69"/>
        <v>0.33757869913395289</v>
      </c>
      <c r="CG117" s="527">
        <f t="shared" si="70"/>
        <v>1533.2363037615319</v>
      </c>
      <c r="CH117" s="528">
        <f t="shared" si="71"/>
        <v>593.48054577774383</v>
      </c>
      <c r="CI117" s="528">
        <f t="shared" si="72"/>
        <v>2455.0892956525345</v>
      </c>
      <c r="CJ117" s="528">
        <f t="shared" si="73"/>
        <v>3491.9488437173395</v>
      </c>
      <c r="CK117" s="528">
        <f t="shared" si="74"/>
        <v>47.28261432968921</v>
      </c>
      <c r="CL117" s="528">
        <f t="shared" si="75"/>
        <v>8121.0376032388385</v>
      </c>
      <c r="CM117" s="646">
        <f t="shared" si="76"/>
        <v>0</v>
      </c>
    </row>
    <row r="118" spans="1:91">
      <c r="A118" s="873">
        <f>'Input data'!A138</f>
        <v>2038</v>
      </c>
      <c r="B118" s="1551">
        <f>'Input data'!B138</f>
        <v>70.341572426693446</v>
      </c>
      <c r="C118" s="1550">
        <f>'Input data'!C138</f>
        <v>6333.0462394281813</v>
      </c>
      <c r="D118" s="1552">
        <f>'Input data'!D138</f>
        <v>18854877.897592288</v>
      </c>
      <c r="E118" s="1454">
        <f t="shared" si="29"/>
        <v>0.89629090909090881</v>
      </c>
      <c r="F118" s="1504">
        <f t="shared" si="30"/>
        <v>0.33901363636363629</v>
      </c>
      <c r="G118" s="1509">
        <f>B118*F118*'Input data'!$C$9</f>
        <v>729.87970305381032</v>
      </c>
      <c r="H118" s="1508">
        <f>'Input data'!I138</f>
        <v>424.26313389388866</v>
      </c>
      <c r="I118" s="1509">
        <f>'Input data'!K138</f>
        <v>29843.335960772907</v>
      </c>
      <c r="J118" s="1509">
        <f t="shared" ref="J118:J126" si="94">($J$127-$J$117)/($A$127-$A$117)+J117</f>
        <v>3733.2505464568658</v>
      </c>
      <c r="K118" s="1511">
        <f t="shared" si="78"/>
        <v>10135.498227666953</v>
      </c>
      <c r="L118" s="1504">
        <f t="shared" si="89"/>
        <v>0.57999999999999996</v>
      </c>
      <c r="M118" s="1504">
        <f t="shared" si="90"/>
        <v>0.437</v>
      </c>
      <c r="N118" s="1504">
        <f t="shared" si="91"/>
        <v>0.71200000000000008</v>
      </c>
      <c r="O118" s="1504">
        <f t="shared" si="92"/>
        <v>0.8</v>
      </c>
      <c r="P118" s="1504">
        <f t="shared" si="92"/>
        <v>0.23600000000000002</v>
      </c>
      <c r="Q118" s="1508">
        <f t="shared" si="36"/>
        <v>0</v>
      </c>
      <c r="R118" s="1509">
        <f t="shared" si="37"/>
        <v>0</v>
      </c>
      <c r="S118" s="1509">
        <f t="shared" si="38"/>
        <v>0</v>
      </c>
      <c r="T118" s="1509">
        <f t="shared" si="39"/>
        <v>0</v>
      </c>
      <c r="U118" s="1511">
        <f t="shared" si="40"/>
        <v>0</v>
      </c>
      <c r="V118" s="1509">
        <f t="shared" si="10"/>
        <v>0</v>
      </c>
      <c r="W118" s="1454">
        <f t="shared" si="86"/>
        <v>0.5</v>
      </c>
      <c r="X118" s="530">
        <f t="shared" si="41"/>
        <v>3033.4854703020706</v>
      </c>
      <c r="Y118" s="528">
        <f t="shared" si="79"/>
        <v>3033.4854703020706</v>
      </c>
      <c r="Z118" s="528">
        <f t="shared" si="80"/>
        <v>10835.263303821748</v>
      </c>
      <c r="AA118" s="530">
        <f t="shared" si="81"/>
        <v>7102.0127573648824</v>
      </c>
      <c r="AB118" s="1091">
        <f t="shared" si="42"/>
        <v>0.65545363857100769</v>
      </c>
      <c r="AC118" s="135" t="str">
        <f t="shared" si="43"/>
        <v>Yes</v>
      </c>
      <c r="AD118" s="1091">
        <f t="shared" si="44"/>
        <v>0.65545363857100769</v>
      </c>
      <c r="AE118" s="649">
        <f t="shared" si="11"/>
        <v>0.3432238595609628</v>
      </c>
      <c r="AF118" s="530">
        <f t="shared" si="45"/>
        <v>278.64590360939866</v>
      </c>
      <c r="AG118" s="527">
        <f t="shared" si="46"/>
        <v>3733.2505464568658</v>
      </c>
      <c r="AH118" s="528">
        <f t="shared" si="82"/>
        <v>8180.4929899928129</v>
      </c>
      <c r="AI118" s="528">
        <f t="shared" si="83"/>
        <v>6437.6604656145792</v>
      </c>
      <c r="AJ118" s="528">
        <f t="shared" si="12"/>
        <v>1248.9870080777011</v>
      </c>
      <c r="AK118" s="528">
        <f t="shared" si="47"/>
        <v>19600.391010141957</v>
      </c>
      <c r="AL118" s="716">
        <f t="shared" si="13"/>
        <v>0</v>
      </c>
      <c r="AM118" s="649">
        <f t="shared" si="48"/>
        <v>0.19046816691183077</v>
      </c>
      <c r="AN118" s="417">
        <f t="shared" si="49"/>
        <v>0.41736376512896745</v>
      </c>
      <c r="AO118" s="417">
        <f t="shared" si="50"/>
        <v>0.32844551224939844</v>
      </c>
      <c r="AP118" s="417">
        <f t="shared" si="51"/>
        <v>6.3722555709803425E-2</v>
      </c>
      <c r="AQ118" s="525">
        <f t="shared" si="52"/>
        <v>1</v>
      </c>
      <c r="AR118" s="1086">
        <f t="shared" si="14"/>
        <v>686.10331338185881</v>
      </c>
      <c r="AS118" s="938">
        <f t="shared" si="15"/>
        <v>870.16461743555999</v>
      </c>
      <c r="AT118" s="938">
        <f t="shared" si="16"/>
        <v>281.9187816339728</v>
      </c>
      <c r="AU118" s="938">
        <f t="shared" si="17"/>
        <v>0</v>
      </c>
      <c r="AV118" s="938">
        <f t="shared" si="18"/>
        <v>0</v>
      </c>
      <c r="AW118" s="938">
        <f t="shared" si="19"/>
        <v>0</v>
      </c>
      <c r="AX118" s="938">
        <f t="shared" si="20"/>
        <v>1199.9415799215506</v>
      </c>
      <c r="AY118" s="938">
        <f t="shared" si="21"/>
        <v>173.48419382035058</v>
      </c>
      <c r="AZ118" s="938">
        <f t="shared" si="22"/>
        <v>252.15838019832503</v>
      </c>
      <c r="BA118" s="938">
        <f t="shared" si="23"/>
        <v>221.6672332155606</v>
      </c>
      <c r="BB118" s="938">
        <f t="shared" si="24"/>
        <v>47.81244684968577</v>
      </c>
      <c r="BC118" s="530">
        <f t="shared" si="53"/>
        <v>3733.2505464568644</v>
      </c>
      <c r="BD118" s="724">
        <f t="shared" si="54"/>
        <v>0</v>
      </c>
      <c r="BE118" s="436">
        <f t="shared" si="55"/>
        <v>0.18378174859788676</v>
      </c>
      <c r="BF118" s="624">
        <f t="shared" si="56"/>
        <v>0.2330849769141296</v>
      </c>
      <c r="BG118" s="624">
        <f t="shared" si="57"/>
        <v>7.5515633929668854E-2</v>
      </c>
      <c r="BH118" s="624">
        <f t="shared" si="58"/>
        <v>0</v>
      </c>
      <c r="BI118" s="624">
        <f t="shared" si="59"/>
        <v>0</v>
      </c>
      <c r="BJ118" s="624">
        <f t="shared" si="60"/>
        <v>0</v>
      </c>
      <c r="BK118" s="624">
        <f t="shared" si="61"/>
        <v>0.50761764055831471</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82.321340690225284</v>
      </c>
      <c r="BW118" s="114">
        <f t="shared" si="65"/>
        <v>0.64215449406282188</v>
      </c>
      <c r="BX118" s="1689">
        <f t="shared" si="25"/>
        <v>18.854877897592289</v>
      </c>
      <c r="BY118" s="527">
        <f t="shared" si="66"/>
        <v>82.321340690225284</v>
      </c>
      <c r="BZ118" s="417">
        <f t="shared" si="67"/>
        <v>0.64215449406282188</v>
      </c>
      <c r="CA118" s="544">
        <f t="shared" si="26"/>
        <v>18.854877897592289</v>
      </c>
      <c r="CB118" s="649">
        <f t="shared" si="27"/>
        <v>0.3432238595609628</v>
      </c>
      <c r="CC118" s="525">
        <f t="shared" si="68"/>
        <v>0.34011321417457729</v>
      </c>
      <c r="CD118" s="417">
        <f t="shared" si="28"/>
        <v>0.3432238595609628</v>
      </c>
      <c r="CE118" s="525">
        <f t="shared" si="69"/>
        <v>0.34011321417457729</v>
      </c>
      <c r="CG118" s="527">
        <f t="shared" si="70"/>
        <v>1544.4613666019029</v>
      </c>
      <c r="CH118" s="528">
        <f t="shared" si="71"/>
        <v>597.82550969788394</v>
      </c>
      <c r="CI118" s="528">
        <f t="shared" si="72"/>
        <v>2473.0633884618505</v>
      </c>
      <c r="CJ118" s="528">
        <f t="shared" si="73"/>
        <v>3517.513947485053</v>
      </c>
      <c r="CK118" s="528">
        <f t="shared" si="74"/>
        <v>47.628777746121287</v>
      </c>
      <c r="CL118" s="528">
        <f t="shared" si="75"/>
        <v>8180.4929899928111</v>
      </c>
      <c r="CM118" s="646">
        <f t="shared" si="76"/>
        <v>0</v>
      </c>
    </row>
    <row r="119" spans="1:91">
      <c r="A119" s="873">
        <f>'Input data'!A139</f>
        <v>2039</v>
      </c>
      <c r="B119" s="1551">
        <f>'Input data'!B139</f>
        <v>70.856554082712819</v>
      </c>
      <c r="C119" s="1550">
        <f>'Input data'!C139</f>
        <v>6520.8289920741563</v>
      </c>
      <c r="D119" s="1552">
        <f>'Input data'!D139</f>
        <v>16226202.836425532</v>
      </c>
      <c r="E119" s="1454">
        <f t="shared" si="29"/>
        <v>0.90493333333333303</v>
      </c>
      <c r="F119" s="1504">
        <f t="shared" si="30"/>
        <v>0.3413666666666666</v>
      </c>
      <c r="G119" s="1509">
        <f>B119*F119*'Input data'!$C$9</f>
        <v>740.32631385442471</v>
      </c>
      <c r="H119" s="1508">
        <f>'Input data'!I139</f>
        <v>424.26313389388866</v>
      </c>
      <c r="I119" s="1509">
        <f>'Input data'!K139</f>
        <v>30061.823692053553</v>
      </c>
      <c r="J119" s="1509">
        <f t="shared" si="94"/>
        <v>3566.0900742274539</v>
      </c>
      <c r="K119" s="1511">
        <f t="shared" si="78"/>
        <v>10404.19397930824</v>
      </c>
      <c r="L119" s="1504">
        <f t="shared" si="89"/>
        <v>0.57999999999999996</v>
      </c>
      <c r="M119" s="1504">
        <f t="shared" si="90"/>
        <v>0.437</v>
      </c>
      <c r="N119" s="1504">
        <f t="shared" si="91"/>
        <v>0.71200000000000008</v>
      </c>
      <c r="O119" s="1504">
        <f t="shared" si="92"/>
        <v>0.8</v>
      </c>
      <c r="P119" s="1504">
        <f t="shared" si="92"/>
        <v>0.23600000000000002</v>
      </c>
      <c r="Q119" s="1508">
        <f t="shared" si="36"/>
        <v>0</v>
      </c>
      <c r="R119" s="1509">
        <f t="shared" si="37"/>
        <v>0</v>
      </c>
      <c r="S119" s="1509">
        <f t="shared" si="38"/>
        <v>0</v>
      </c>
      <c r="T119" s="1509">
        <f t="shared" si="39"/>
        <v>0</v>
      </c>
      <c r="U119" s="1511">
        <f t="shared" si="40"/>
        <v>0</v>
      </c>
      <c r="V119" s="1509">
        <f t="shared" si="10"/>
        <v>0</v>
      </c>
      <c r="W119" s="1454">
        <f t="shared" si="86"/>
        <v>0.5</v>
      </c>
      <c r="X119" s="530">
        <f t="shared" si="41"/>
        <v>3033.4854703020706</v>
      </c>
      <c r="Y119" s="528">
        <f t="shared" si="79"/>
        <v>3033.4854703020706</v>
      </c>
      <c r="Z119" s="528">
        <f t="shared" si="80"/>
        <v>10936.798583233624</v>
      </c>
      <c r="AA119" s="530">
        <f t="shared" si="81"/>
        <v>7370.7085090061701</v>
      </c>
      <c r="AB119" s="1091">
        <f t="shared" si="42"/>
        <v>0.67393656863221785</v>
      </c>
      <c r="AC119" s="135" t="str">
        <f t="shared" si="43"/>
        <v>Yes</v>
      </c>
      <c r="AD119" s="1091">
        <f t="shared" si="44"/>
        <v>0.67393656863221785</v>
      </c>
      <c r="AE119" s="649">
        <f t="shared" si="11"/>
        <v>0.35350649570399229</v>
      </c>
      <c r="AF119" s="530">
        <f t="shared" si="45"/>
        <v>274.28336017466643</v>
      </c>
      <c r="AG119" s="527">
        <f t="shared" si="46"/>
        <v>3566.0900742274539</v>
      </c>
      <c r="AH119" s="528">
        <f t="shared" si="82"/>
        <v>8240.3836589344519</v>
      </c>
      <c r="AI119" s="528">
        <f t="shared" si="83"/>
        <v>6437.6604656145792</v>
      </c>
      <c r="AJ119" s="528">
        <f t="shared" si="12"/>
        <v>1190.6395454279671</v>
      </c>
      <c r="AK119" s="528">
        <f t="shared" si="47"/>
        <v>19434.773744204449</v>
      </c>
      <c r="AL119" s="716">
        <f t="shared" si="13"/>
        <v>0</v>
      </c>
      <c r="AM119" s="649">
        <f t="shared" si="48"/>
        <v>0.18349017699734635</v>
      </c>
      <c r="AN119" s="417">
        <f t="shared" si="49"/>
        <v>0.4240020371418925</v>
      </c>
      <c r="AO119" s="417">
        <f t="shared" si="50"/>
        <v>0.33124442560255291</v>
      </c>
      <c r="AP119" s="417">
        <f t="shared" si="51"/>
        <v>6.1263360258208409E-2</v>
      </c>
      <c r="AQ119" s="525">
        <f t="shared" si="52"/>
        <v>1.0000000000000002</v>
      </c>
      <c r="AR119" s="1086">
        <f t="shared" si="14"/>
        <v>657.2439136613923</v>
      </c>
      <c r="AS119" s="938">
        <f t="shared" si="15"/>
        <v>833.56309106572155</v>
      </c>
      <c r="AT119" s="938">
        <f t="shared" si="16"/>
        <v>268.7487122295172</v>
      </c>
      <c r="AU119" s="938">
        <f t="shared" si="17"/>
        <v>0</v>
      </c>
      <c r="AV119" s="938">
        <f t="shared" si="18"/>
        <v>0</v>
      </c>
      <c r="AW119" s="938">
        <f t="shared" si="19"/>
        <v>0</v>
      </c>
      <c r="AX119" s="938">
        <f t="shared" si="20"/>
        <v>1143.8853150736941</v>
      </c>
      <c r="AY119" s="938">
        <f t="shared" si="21"/>
        <v>165.37973600470738</v>
      </c>
      <c r="AZ119" s="938">
        <f t="shared" si="22"/>
        <v>240.37859259822551</v>
      </c>
      <c r="BA119" s="938">
        <f t="shared" si="23"/>
        <v>211.3118648033456</v>
      </c>
      <c r="BB119" s="938">
        <f t="shared" si="24"/>
        <v>45.578848790849214</v>
      </c>
      <c r="BC119" s="530">
        <f t="shared" si="53"/>
        <v>3566.090074227453</v>
      </c>
      <c r="BD119" s="724">
        <f t="shared" si="54"/>
        <v>0</v>
      </c>
      <c r="BE119" s="436">
        <f t="shared" si="55"/>
        <v>0.18430378929892163</v>
      </c>
      <c r="BF119" s="624">
        <f t="shared" si="56"/>
        <v>0.23374706575416554</v>
      </c>
      <c r="BG119" s="624">
        <f t="shared" si="57"/>
        <v>7.5362289408165917E-2</v>
      </c>
      <c r="BH119" s="624">
        <f t="shared" si="58"/>
        <v>0</v>
      </c>
      <c r="BI119" s="624">
        <f t="shared" si="59"/>
        <v>0</v>
      </c>
      <c r="BJ119" s="624">
        <f t="shared" si="60"/>
        <v>0</v>
      </c>
      <c r="BK119" s="624">
        <f t="shared" si="61"/>
        <v>0.50658685553874683</v>
      </c>
      <c r="BL119" s="624">
        <f t="shared" si="62"/>
        <v>0.99999999999999989</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81.691474787050097</v>
      </c>
      <c r="BW119" s="114">
        <f t="shared" si="65"/>
        <v>0.65247557244495846</v>
      </c>
      <c r="BX119" s="1689">
        <f t="shared" si="25"/>
        <v>16.226202836425532</v>
      </c>
      <c r="BY119" s="527">
        <f t="shared" si="66"/>
        <v>81.691474787050097</v>
      </c>
      <c r="BZ119" s="417">
        <f t="shared" si="67"/>
        <v>0.65247557244495846</v>
      </c>
      <c r="CA119" s="544">
        <f t="shared" si="26"/>
        <v>16.226202836425532</v>
      </c>
      <c r="CB119" s="649">
        <f t="shared" si="27"/>
        <v>0.35350649570399229</v>
      </c>
      <c r="CC119" s="525">
        <f t="shared" si="68"/>
        <v>0.34244163927860161</v>
      </c>
      <c r="CD119" s="417">
        <f t="shared" si="28"/>
        <v>0.35350649570399229</v>
      </c>
      <c r="CE119" s="525">
        <f t="shared" si="69"/>
        <v>0.34244163927860161</v>
      </c>
      <c r="CG119" s="527">
        <f t="shared" si="70"/>
        <v>1555.7686098833849</v>
      </c>
      <c r="CH119" s="528">
        <f t="shared" si="71"/>
        <v>602.20228377861258</v>
      </c>
      <c r="CI119" s="528">
        <f t="shared" si="72"/>
        <v>2491.1690724165023</v>
      </c>
      <c r="CJ119" s="528">
        <f t="shared" si="73"/>
        <v>3543.2662173768713</v>
      </c>
      <c r="CK119" s="528">
        <f t="shared" si="74"/>
        <v>47.977475479079111</v>
      </c>
      <c r="CL119" s="528">
        <f t="shared" si="75"/>
        <v>8240.3836589344501</v>
      </c>
      <c r="CM119" s="646">
        <f t="shared" si="76"/>
        <v>0</v>
      </c>
    </row>
    <row r="120" spans="1:91">
      <c r="A120" s="873">
        <f>'Input data'!A140</f>
        <v>2040</v>
      </c>
      <c r="B120" s="1551">
        <f>'Input data'!B140</f>
        <v>71.375305999999995</v>
      </c>
      <c r="C120" s="1550">
        <f>'Input data'!C140</f>
        <v>6710.9821193375428</v>
      </c>
      <c r="D120" s="1552">
        <f>'Input data'!D140</f>
        <v>13597527.775258772</v>
      </c>
      <c r="E120" s="1454">
        <f t="shared" si="29"/>
        <v>0.91357575757575726</v>
      </c>
      <c r="F120" s="1504">
        <f t="shared" si="30"/>
        <v>0.3437196969696969</v>
      </c>
      <c r="G120" s="1509">
        <f>B120*F120*'Input data'!$C$9</f>
        <v>750.88676613467851</v>
      </c>
      <c r="H120" s="1508">
        <f>'Input data'!I140</f>
        <v>424.26313389388866</v>
      </c>
      <c r="I120" s="1509">
        <f>'Input data'!K140</f>
        <v>30281.911006195274</v>
      </c>
      <c r="J120" s="1509">
        <f t="shared" si="94"/>
        <v>3398.929601998042</v>
      </c>
      <c r="K120" s="1511">
        <f t="shared" si="78"/>
        <v>10673.633086614351</v>
      </c>
      <c r="L120" s="1504">
        <f t="shared" si="89"/>
        <v>0.57999999999999996</v>
      </c>
      <c r="M120" s="1504">
        <f t="shared" si="90"/>
        <v>0.437</v>
      </c>
      <c r="N120" s="1504">
        <f t="shared" si="91"/>
        <v>0.71200000000000008</v>
      </c>
      <c r="O120" s="1504">
        <f t="shared" si="92"/>
        <v>0.8</v>
      </c>
      <c r="P120" s="1504">
        <f t="shared" si="92"/>
        <v>0.23600000000000002</v>
      </c>
      <c r="Q120" s="1508">
        <f t="shared" si="36"/>
        <v>0</v>
      </c>
      <c r="R120" s="1509">
        <f t="shared" si="37"/>
        <v>0</v>
      </c>
      <c r="S120" s="1509">
        <f t="shared" si="38"/>
        <v>0</v>
      </c>
      <c r="T120" s="1509">
        <f t="shared" si="39"/>
        <v>0</v>
      </c>
      <c r="U120" s="1511">
        <f t="shared" si="40"/>
        <v>0</v>
      </c>
      <c r="V120" s="1509">
        <f t="shared" si="10"/>
        <v>0</v>
      </c>
      <c r="W120" s="1454">
        <f t="shared" si="86"/>
        <v>0.5</v>
      </c>
      <c r="X120" s="530">
        <f t="shared" si="41"/>
        <v>3033.4854703020706</v>
      </c>
      <c r="Y120" s="528">
        <f t="shared" si="79"/>
        <v>3033.4854703020706</v>
      </c>
      <c r="Z120" s="528">
        <f t="shared" si="80"/>
        <v>11039.077218310322</v>
      </c>
      <c r="AA120" s="530">
        <f t="shared" si="81"/>
        <v>7640.1476163122798</v>
      </c>
      <c r="AB120" s="1091">
        <f t="shared" si="42"/>
        <v>0.69210020595197053</v>
      </c>
      <c r="AC120" s="135" t="str">
        <f t="shared" si="43"/>
        <v>Yes</v>
      </c>
      <c r="AD120" s="1091">
        <f t="shared" si="44"/>
        <v>0.69210020595197053</v>
      </c>
      <c r="AE120" s="649">
        <f t="shared" si="11"/>
        <v>0.36365151761921655</v>
      </c>
      <c r="AF120" s="530">
        <f t="shared" si="45"/>
        <v>269.97920138349122</v>
      </c>
      <c r="AG120" s="527">
        <f t="shared" si="46"/>
        <v>3398.929601998042</v>
      </c>
      <c r="AH120" s="528">
        <f t="shared" si="82"/>
        <v>8300.7127968327495</v>
      </c>
      <c r="AI120" s="528">
        <f t="shared" si="83"/>
        <v>6437.6604656145792</v>
      </c>
      <c r="AJ120" s="528">
        <f t="shared" si="12"/>
        <v>1132.5452479369364</v>
      </c>
      <c r="AK120" s="528">
        <f t="shared" si="47"/>
        <v>19269.848112382308</v>
      </c>
      <c r="AL120" s="716">
        <f t="shared" si="13"/>
        <v>0</v>
      </c>
      <c r="AM120" s="649">
        <f t="shared" si="48"/>
        <v>0.17638590518074596</v>
      </c>
      <c r="AN120" s="417">
        <f t="shared" si="49"/>
        <v>0.43076171376249328</v>
      </c>
      <c r="AO120" s="417">
        <f t="shared" si="50"/>
        <v>0.33407946072381883</v>
      </c>
      <c r="AP120" s="417">
        <f t="shared" si="51"/>
        <v>5.8772920332941909E-2</v>
      </c>
      <c r="AQ120" s="525">
        <f t="shared" si="52"/>
        <v>1</v>
      </c>
      <c r="AR120" s="1086">
        <f t="shared" si="14"/>
        <v>628.18997518907975</v>
      </c>
      <c r="AS120" s="938">
        <f t="shared" si="15"/>
        <v>796.71483692868696</v>
      </c>
      <c r="AT120" s="938">
        <f t="shared" si="16"/>
        <v>255.63578674459976</v>
      </c>
      <c r="AU120" s="938">
        <f t="shared" si="17"/>
        <v>0</v>
      </c>
      <c r="AV120" s="938">
        <f t="shared" si="18"/>
        <v>0</v>
      </c>
      <c r="AW120" s="938">
        <f t="shared" si="19"/>
        <v>0</v>
      </c>
      <c r="AX120" s="938">
        <f t="shared" si="20"/>
        <v>1088.0722740532683</v>
      </c>
      <c r="AY120" s="938">
        <f t="shared" si="21"/>
        <v>157.31044280901386</v>
      </c>
      <c r="AZ120" s="938">
        <f t="shared" si="22"/>
        <v>228.64991659170408</v>
      </c>
      <c r="BA120" s="938">
        <f t="shared" si="23"/>
        <v>201.00142753926374</v>
      </c>
      <c r="BB120" s="938">
        <f t="shared" si="24"/>
        <v>43.35494214242479</v>
      </c>
      <c r="BC120" s="530">
        <f t="shared" si="53"/>
        <v>3398.9296019980407</v>
      </c>
      <c r="BD120" s="724">
        <f t="shared" si="54"/>
        <v>0</v>
      </c>
      <c r="BE120" s="436">
        <f t="shared" si="55"/>
        <v>0.18481994296669221</v>
      </c>
      <c r="BF120" s="624">
        <f t="shared" si="56"/>
        <v>0.23440168824336427</v>
      </c>
      <c r="BG120" s="624">
        <f t="shared" si="57"/>
        <v>7.5210674147039053E-2</v>
      </c>
      <c r="BH120" s="624">
        <f t="shared" si="58"/>
        <v>0</v>
      </c>
      <c r="BI120" s="624">
        <f t="shared" si="59"/>
        <v>0</v>
      </c>
      <c r="BJ120" s="624">
        <f t="shared" si="60"/>
        <v>0</v>
      </c>
      <c r="BK120" s="624">
        <f t="shared" si="61"/>
        <v>0.50556769464290463</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81.106038032240903</v>
      </c>
      <c r="BW120" s="114">
        <f t="shared" si="65"/>
        <v>0.66275226620254524</v>
      </c>
      <c r="BX120" s="1689">
        <f t="shared" si="25"/>
        <v>13.597527775258772</v>
      </c>
      <c r="BY120" s="527">
        <f t="shared" si="66"/>
        <v>81.106038032240903</v>
      </c>
      <c r="BZ120" s="417">
        <f t="shared" si="67"/>
        <v>0.66275226620254524</v>
      </c>
      <c r="CA120" s="544">
        <f t="shared" si="26"/>
        <v>13.597527775258772</v>
      </c>
      <c r="CB120" s="649">
        <f t="shared" si="27"/>
        <v>0.36365151761921655</v>
      </c>
      <c r="CC120" s="525">
        <f t="shared" si="68"/>
        <v>0.34452274928452731</v>
      </c>
      <c r="CD120" s="417">
        <f t="shared" si="28"/>
        <v>0.36365151761921655</v>
      </c>
      <c r="CE120" s="525">
        <f t="shared" si="69"/>
        <v>0.34452274928452731</v>
      </c>
      <c r="CG120" s="527">
        <f t="shared" si="70"/>
        <v>1567.1586352618433</v>
      </c>
      <c r="CH120" s="528">
        <f t="shared" si="71"/>
        <v>606.61110090709167</v>
      </c>
      <c r="CI120" s="528">
        <f t="shared" si="72"/>
        <v>2509.4073109158521</v>
      </c>
      <c r="CJ120" s="528">
        <f t="shared" si="73"/>
        <v>3569.2070236652708</v>
      </c>
      <c r="CK120" s="528">
        <f t="shared" si="74"/>
        <v>48.328726082690423</v>
      </c>
      <c r="CL120" s="528">
        <f t="shared" si="75"/>
        <v>8300.7127968327495</v>
      </c>
      <c r="CM120" s="646">
        <f t="shared" si="76"/>
        <v>0</v>
      </c>
    </row>
    <row r="121" spans="1:91">
      <c r="A121" s="873">
        <f>'Input data'!A141</f>
        <v>2041</v>
      </c>
      <c r="B121" s="1551">
        <f>'Input data'!B141</f>
        <v>71.818612994947316</v>
      </c>
      <c r="C121" s="1550">
        <f>'Input data'!C141</f>
        <v>6920.8570404241891</v>
      </c>
      <c r="D121" s="1552">
        <f>'Input data'!D141</f>
        <v>11135124.826855309</v>
      </c>
      <c r="E121" s="1454">
        <f t="shared" si="29"/>
        <v>0.92221818181818149</v>
      </c>
      <c r="F121" s="1504">
        <f t="shared" si="30"/>
        <v>0.3460727272727272</v>
      </c>
      <c r="G121" s="1509">
        <f>B121*F121*'Input data'!$C$9</f>
        <v>760.72280514389797</v>
      </c>
      <c r="H121" s="1508">
        <f>'Input data'!I141</f>
        <v>424.26313389388866</v>
      </c>
      <c r="I121" s="1509">
        <f>'Input data'!K141</f>
        <v>30469.989821148705</v>
      </c>
      <c r="J121" s="1509">
        <f t="shared" si="94"/>
        <v>3231.7691297686301</v>
      </c>
      <c r="K121" s="1511">
        <f t="shared" si="78"/>
        <v>10928.197253851338</v>
      </c>
      <c r="L121" s="1504">
        <f t="shared" si="89"/>
        <v>0.57999999999999996</v>
      </c>
      <c r="M121" s="1504">
        <f t="shared" si="90"/>
        <v>0.437</v>
      </c>
      <c r="N121" s="1504">
        <f t="shared" si="91"/>
        <v>0.71200000000000008</v>
      </c>
      <c r="O121" s="1504">
        <f t="shared" si="92"/>
        <v>0.8</v>
      </c>
      <c r="P121" s="1504">
        <f t="shared" si="92"/>
        <v>0.23600000000000002</v>
      </c>
      <c r="Q121" s="1508">
        <f t="shared" si="36"/>
        <v>0</v>
      </c>
      <c r="R121" s="1509">
        <f t="shared" si="37"/>
        <v>0</v>
      </c>
      <c r="S121" s="1509">
        <f t="shared" si="38"/>
        <v>0</v>
      </c>
      <c r="T121" s="1509">
        <f t="shared" si="39"/>
        <v>0</v>
      </c>
      <c r="U121" s="1511">
        <f t="shared" si="40"/>
        <v>0</v>
      </c>
      <c r="V121" s="1509">
        <f t="shared" si="10"/>
        <v>0</v>
      </c>
      <c r="W121" s="1454">
        <f t="shared" si="86"/>
        <v>0.5</v>
      </c>
      <c r="X121" s="530">
        <f t="shared" si="41"/>
        <v>3033.4854703020706</v>
      </c>
      <c r="Y121" s="528">
        <f t="shared" si="79"/>
        <v>3033.4854703020706</v>
      </c>
      <c r="Z121" s="528">
        <f t="shared" si="80"/>
        <v>11126.480913317899</v>
      </c>
      <c r="AA121" s="530">
        <f t="shared" si="81"/>
        <v>7894.7117835492681</v>
      </c>
      <c r="AB121" s="1091">
        <f t="shared" si="42"/>
        <v>0.70954256292298601</v>
      </c>
      <c r="AC121" s="135" t="str">
        <f t="shared" si="43"/>
        <v>Yes</v>
      </c>
      <c r="AD121" s="1091">
        <f t="shared" si="44"/>
        <v>0.70954256292298601</v>
      </c>
      <c r="AE121" s="649">
        <f t="shared" si="11"/>
        <v>0.37326134680596657</v>
      </c>
      <c r="AF121" s="530">
        <f t="shared" si="45"/>
        <v>265.90210513653562</v>
      </c>
      <c r="AG121" s="527">
        <f t="shared" si="46"/>
        <v>3231.7691297686301</v>
      </c>
      <c r="AH121" s="528">
        <f t="shared" si="82"/>
        <v>8352.2679389695077</v>
      </c>
      <c r="AI121" s="528">
        <f t="shared" si="83"/>
        <v>6437.6604656145792</v>
      </c>
      <c r="AJ121" s="528">
        <f t="shared" si="12"/>
        <v>1075.0228489899325</v>
      </c>
      <c r="AK121" s="528">
        <f t="shared" si="47"/>
        <v>19096.720383342647</v>
      </c>
      <c r="AL121" s="716">
        <f t="shared" si="13"/>
        <v>0</v>
      </c>
      <c r="AM121" s="649">
        <f t="shared" si="48"/>
        <v>0.16923163060959834</v>
      </c>
      <c r="AN121" s="417">
        <f t="shared" si="49"/>
        <v>0.43736661433524876</v>
      </c>
      <c r="AO121" s="417">
        <f t="shared" si="50"/>
        <v>0.33710817021910783</v>
      </c>
      <c r="AP121" s="417">
        <f t="shared" si="51"/>
        <v>5.6293584836045178E-2</v>
      </c>
      <c r="AQ121" s="525">
        <f t="shared" si="52"/>
        <v>1</v>
      </c>
      <c r="AR121" s="1086">
        <f t="shared" si="14"/>
        <v>598.6965748670118</v>
      </c>
      <c r="AS121" s="938">
        <f t="shared" si="15"/>
        <v>759.30922627564189</v>
      </c>
      <c r="AT121" s="938">
        <f t="shared" si="16"/>
        <v>242.65194902417261</v>
      </c>
      <c r="AU121" s="938">
        <f t="shared" si="17"/>
        <v>0</v>
      </c>
      <c r="AV121" s="938">
        <f t="shared" si="18"/>
        <v>0</v>
      </c>
      <c r="AW121" s="938">
        <f t="shared" si="19"/>
        <v>0</v>
      </c>
      <c r="AX121" s="938">
        <f t="shared" si="20"/>
        <v>1032.8086741703689</v>
      </c>
      <c r="AY121" s="938">
        <f t="shared" si="21"/>
        <v>149.32058627456325</v>
      </c>
      <c r="AZ121" s="938">
        <f t="shared" si="22"/>
        <v>217.03670136224994</v>
      </c>
      <c r="BA121" s="938">
        <f t="shared" si="23"/>
        <v>190.79248946381597</v>
      </c>
      <c r="BB121" s="938">
        <f t="shared" si="24"/>
        <v>41.152928330805594</v>
      </c>
      <c r="BC121" s="530">
        <f t="shared" si="53"/>
        <v>3231.7691297686297</v>
      </c>
      <c r="BD121" s="724">
        <f t="shared" si="54"/>
        <v>0</v>
      </c>
      <c r="BE121" s="436">
        <f t="shared" si="55"/>
        <v>0.18525351002095683</v>
      </c>
      <c r="BF121" s="624">
        <f t="shared" si="56"/>
        <v>0.23495156856393473</v>
      </c>
      <c r="BG121" s="624">
        <f t="shared" si="57"/>
        <v>7.5083317923005433E-2</v>
      </c>
      <c r="BH121" s="624">
        <f t="shared" si="58"/>
        <v>0</v>
      </c>
      <c r="BI121" s="624">
        <f t="shared" si="59"/>
        <v>0</v>
      </c>
      <c r="BJ121" s="624">
        <f t="shared" si="60"/>
        <v>0</v>
      </c>
      <c r="BK121" s="624">
        <f t="shared" si="61"/>
        <v>0.50471160349210298</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80.212893275553853</v>
      </c>
      <c r="BW121" s="114">
        <f t="shared" si="65"/>
        <v>0.67733382693345867</v>
      </c>
      <c r="BX121" s="1689">
        <f t="shared" si="25"/>
        <v>11.135124826855309</v>
      </c>
      <c r="BY121" s="527">
        <f t="shared" si="66"/>
        <v>80.212893275553853</v>
      </c>
      <c r="BZ121" s="417">
        <f t="shared" si="67"/>
        <v>0.67733382693345867</v>
      </c>
      <c r="CA121" s="544">
        <f t="shared" si="26"/>
        <v>11.135124826855309</v>
      </c>
      <c r="CB121" s="649">
        <f t="shared" si="27"/>
        <v>0.37326134680596657</v>
      </c>
      <c r="CC121" s="525">
        <f t="shared" si="68"/>
        <v>0.35258477735772231</v>
      </c>
      <c r="CD121" s="417">
        <f t="shared" si="28"/>
        <v>0.37326134680596657</v>
      </c>
      <c r="CE121" s="525">
        <f t="shared" si="69"/>
        <v>0.35258477735772231</v>
      </c>
      <c r="CG121" s="527">
        <f t="shared" si="70"/>
        <v>1576.8921470902012</v>
      </c>
      <c r="CH121" s="528">
        <f t="shared" si="71"/>
        <v>610.37871970013487</v>
      </c>
      <c r="CI121" s="528">
        <f t="shared" si="72"/>
        <v>2524.9930628578604</v>
      </c>
      <c r="CJ121" s="528">
        <f t="shared" si="73"/>
        <v>3591.3751169271886</v>
      </c>
      <c r="CK121" s="528">
        <f t="shared" si="74"/>
        <v>48.628892394122417</v>
      </c>
      <c r="CL121" s="528">
        <f t="shared" si="75"/>
        <v>8352.2679389695077</v>
      </c>
      <c r="CM121" s="646">
        <f t="shared" si="76"/>
        <v>0</v>
      </c>
    </row>
    <row r="122" spans="1:91">
      <c r="A122" s="873">
        <f>'Input data'!A142</f>
        <v>2042</v>
      </c>
      <c r="B122" s="1551">
        <f>'Input data'!B142</f>
        <v>72.264673338395411</v>
      </c>
      <c r="C122" s="1550">
        <f>'Input data'!C142</f>
        <v>7114.4180841945599</v>
      </c>
      <c r="D122" s="1552">
        <f>'Input data'!D142</f>
        <v>8672721.8784518428</v>
      </c>
      <c r="E122" s="1454">
        <f t="shared" si="29"/>
        <v>0.93086060606060572</v>
      </c>
      <c r="F122" s="1504">
        <f t="shared" si="30"/>
        <v>0.3484257575757575</v>
      </c>
      <c r="G122" s="1509">
        <f>B122*F122*'Input data'!$C$9</f>
        <v>770.6520601014862</v>
      </c>
      <c r="H122" s="1508">
        <f>'Input data'!I142</f>
        <v>424.26313389388866</v>
      </c>
      <c r="I122" s="1509">
        <f>'Input data'!K142</f>
        <v>30659.23678036578</v>
      </c>
      <c r="J122" s="1509">
        <f t="shared" si="94"/>
        <v>3064.6086575392183</v>
      </c>
      <c r="K122" s="1511">
        <f t="shared" si="78"/>
        <v>11183.304279277698</v>
      </c>
      <c r="L122" s="1504">
        <f t="shared" si="89"/>
        <v>0.57999999999999996</v>
      </c>
      <c r="M122" s="1504">
        <f t="shared" si="90"/>
        <v>0.437</v>
      </c>
      <c r="N122" s="1504">
        <f t="shared" si="91"/>
        <v>0.71200000000000008</v>
      </c>
      <c r="O122" s="1504">
        <f t="shared" si="92"/>
        <v>0.8</v>
      </c>
      <c r="P122" s="1504">
        <f t="shared" si="92"/>
        <v>0.23600000000000002</v>
      </c>
      <c r="Q122" s="1508">
        <f t="shared" si="36"/>
        <v>0</v>
      </c>
      <c r="R122" s="1509">
        <f t="shared" si="37"/>
        <v>0</v>
      </c>
      <c r="S122" s="1509">
        <f t="shared" si="38"/>
        <v>0</v>
      </c>
      <c r="T122" s="1509">
        <f t="shared" si="39"/>
        <v>0</v>
      </c>
      <c r="U122" s="1511">
        <f t="shared" si="40"/>
        <v>0</v>
      </c>
      <c r="V122" s="1509">
        <f t="shared" si="10"/>
        <v>0</v>
      </c>
      <c r="W122" s="1454">
        <f t="shared" si="86"/>
        <v>0.5</v>
      </c>
      <c r="X122" s="530">
        <f t="shared" si="41"/>
        <v>3033.4854703020706</v>
      </c>
      <c r="Y122" s="528">
        <f t="shared" si="79"/>
        <v>3033.4854703020706</v>
      </c>
      <c r="Z122" s="528">
        <f t="shared" si="80"/>
        <v>11214.427466514846</v>
      </c>
      <c r="AA122" s="530">
        <f t="shared" si="81"/>
        <v>8149.8188089756277</v>
      </c>
      <c r="AB122" s="1091">
        <f t="shared" si="42"/>
        <v>0.7267262491384574</v>
      </c>
      <c r="AC122" s="135" t="str">
        <f t="shared" si="43"/>
        <v>Yes</v>
      </c>
      <c r="AD122" s="1091">
        <f t="shared" si="44"/>
        <v>0.7267262491384574</v>
      </c>
      <c r="AE122" s="649">
        <f t="shared" si="11"/>
        <v>0.38275965270757828</v>
      </c>
      <c r="AF122" s="530">
        <f t="shared" si="45"/>
        <v>261.87232410803506</v>
      </c>
      <c r="AG122" s="527">
        <f t="shared" si="46"/>
        <v>3064.6086575392183</v>
      </c>
      <c r="AH122" s="528">
        <f t="shared" si="82"/>
        <v>8404.1432864604067</v>
      </c>
      <c r="AI122" s="528">
        <f t="shared" si="83"/>
        <v>6437.6604656145792</v>
      </c>
      <c r="AJ122" s="528">
        <f t="shared" si="12"/>
        <v>1017.70554841936</v>
      </c>
      <c r="AK122" s="528">
        <f t="shared" si="47"/>
        <v>18924.117958033563</v>
      </c>
      <c r="AL122" s="716">
        <f t="shared" si="13"/>
        <v>0</v>
      </c>
      <c r="AM122" s="649">
        <f t="shared" si="48"/>
        <v>0.16194195493472113</v>
      </c>
      <c r="AN122" s="417">
        <f t="shared" si="49"/>
        <v>0.44409696161784523</v>
      </c>
      <c r="AO122" s="417">
        <f t="shared" si="50"/>
        <v>0.34018285448710694</v>
      </c>
      <c r="AP122" s="417">
        <f t="shared" si="51"/>
        <v>5.3778228960326746E-2</v>
      </c>
      <c r="AQ122" s="525">
        <f t="shared" si="52"/>
        <v>1</v>
      </c>
      <c r="AR122" s="1086">
        <f t="shared" si="14"/>
        <v>569.04557157002819</v>
      </c>
      <c r="AS122" s="938">
        <f t="shared" si="15"/>
        <v>721.70373241302821</v>
      </c>
      <c r="AT122" s="938">
        <f t="shared" si="16"/>
        <v>229.71440568793415</v>
      </c>
      <c r="AU122" s="938">
        <f t="shared" si="17"/>
        <v>0</v>
      </c>
      <c r="AV122" s="938">
        <f t="shared" si="18"/>
        <v>0</v>
      </c>
      <c r="AW122" s="938">
        <f t="shared" si="19"/>
        <v>0</v>
      </c>
      <c r="AX122" s="938">
        <f t="shared" si="20"/>
        <v>977.74211882697432</v>
      </c>
      <c r="AY122" s="938">
        <f t="shared" si="21"/>
        <v>141.3592178879147</v>
      </c>
      <c r="AZ122" s="938">
        <f t="shared" si="22"/>
        <v>205.46489350857124</v>
      </c>
      <c r="BA122" s="938">
        <f t="shared" si="23"/>
        <v>180.6199517587055</v>
      </c>
      <c r="BB122" s="938">
        <f t="shared" si="24"/>
        <v>38.958765886061016</v>
      </c>
      <c r="BC122" s="530">
        <f t="shared" si="53"/>
        <v>3064.6086575392173</v>
      </c>
      <c r="BD122" s="724">
        <f t="shared" si="54"/>
        <v>0</v>
      </c>
      <c r="BE122" s="436">
        <f t="shared" si="55"/>
        <v>0.18568294851289546</v>
      </c>
      <c r="BF122" s="624">
        <f t="shared" si="56"/>
        <v>0.23549621275054844</v>
      </c>
      <c r="BG122" s="624">
        <f t="shared" si="57"/>
        <v>7.4957174425131154E-2</v>
      </c>
      <c r="BH122" s="624">
        <f t="shared" si="58"/>
        <v>0</v>
      </c>
      <c r="BI122" s="624">
        <f t="shared" si="59"/>
        <v>0</v>
      </c>
      <c r="BJ122" s="624">
        <f t="shared" si="60"/>
        <v>0</v>
      </c>
      <c r="BK122" s="624">
        <f t="shared" si="61"/>
        <v>0.50386366431142482</v>
      </c>
      <c r="BL122" s="624">
        <f t="shared" si="62"/>
        <v>0.99999999999999989</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79.307575830017925</v>
      </c>
      <c r="BW122" s="114">
        <f t="shared" si="65"/>
        <v>0.69130188394546743</v>
      </c>
      <c r="BX122" s="1689">
        <f t="shared" si="25"/>
        <v>8.6727218784518421</v>
      </c>
      <c r="BY122" s="527">
        <f t="shared" si="66"/>
        <v>79.307575830017925</v>
      </c>
      <c r="BZ122" s="417">
        <f t="shared" si="67"/>
        <v>0.69130188394546743</v>
      </c>
      <c r="CA122" s="544">
        <f t="shared" si="26"/>
        <v>8.6727218784518421</v>
      </c>
      <c r="CB122" s="649">
        <f t="shared" si="27"/>
        <v>0.38275965270757828</v>
      </c>
      <c r="CC122" s="525">
        <f t="shared" si="68"/>
        <v>0.35943959819017557</v>
      </c>
      <c r="CD122" s="417">
        <f t="shared" si="28"/>
        <v>0.38275965270757828</v>
      </c>
      <c r="CE122" s="525">
        <f t="shared" si="69"/>
        <v>0.35943959819017557</v>
      </c>
      <c r="CG122" s="527">
        <f t="shared" si="70"/>
        <v>1586.6861130744951</v>
      </c>
      <c r="CH122" s="528">
        <f t="shared" si="71"/>
        <v>614.16973890795509</v>
      </c>
      <c r="CI122" s="528">
        <f t="shared" si="72"/>
        <v>2540.6756168066772</v>
      </c>
      <c r="CJ122" s="528">
        <f t="shared" si="73"/>
        <v>3613.6808946539204</v>
      </c>
      <c r="CK122" s="528">
        <f t="shared" si="74"/>
        <v>48.930923017358609</v>
      </c>
      <c r="CL122" s="528">
        <f t="shared" si="75"/>
        <v>8404.1432864604067</v>
      </c>
      <c r="CM122" s="646">
        <f t="shared" si="76"/>
        <v>0</v>
      </c>
    </row>
    <row r="123" spans="1:91">
      <c r="A123" s="873">
        <f>'Input data'!A143</f>
        <v>2043</v>
      </c>
      <c r="B123" s="1551">
        <f>'Input data'!B143</f>
        <v>72.713504131197794</v>
      </c>
      <c r="C123" s="1550">
        <f>'Input data'!C143</f>
        <v>7308.347295357521</v>
      </c>
      <c r="D123" s="1552">
        <f>'Input data'!D143</f>
        <v>6210318.9300483763</v>
      </c>
      <c r="E123" s="1454">
        <f t="shared" si="29"/>
        <v>0.93950303030302995</v>
      </c>
      <c r="F123" s="1504">
        <f t="shared" si="30"/>
        <v>0.3507787878787878</v>
      </c>
      <c r="G123" s="1509">
        <f>B123*F123*'Input data'!$C$9</f>
        <v>780.67530949126035</v>
      </c>
      <c r="H123" s="1508">
        <f>'Input data'!I143</f>
        <v>424.26313389388866</v>
      </c>
      <c r="I123" s="1509">
        <f>'Input data'!K143</f>
        <v>30849.659139108197</v>
      </c>
      <c r="J123" s="1509">
        <f t="shared" si="94"/>
        <v>2897.4481853098064</v>
      </c>
      <c r="K123" s="1511">
        <f t="shared" si="78"/>
        <v>11438.957534547382</v>
      </c>
      <c r="L123" s="1504">
        <f t="shared" si="89"/>
        <v>0.57999999999999996</v>
      </c>
      <c r="M123" s="1504">
        <f t="shared" si="90"/>
        <v>0.437</v>
      </c>
      <c r="N123" s="1504">
        <f t="shared" si="91"/>
        <v>0.71200000000000008</v>
      </c>
      <c r="O123" s="1504">
        <f t="shared" si="92"/>
        <v>0.8</v>
      </c>
      <c r="P123" s="1504">
        <f t="shared" si="92"/>
        <v>0.23600000000000002</v>
      </c>
      <c r="Q123" s="1508">
        <f t="shared" si="36"/>
        <v>0</v>
      </c>
      <c r="R123" s="1509">
        <f t="shared" si="37"/>
        <v>0</v>
      </c>
      <c r="S123" s="1509">
        <f t="shared" si="38"/>
        <v>0</v>
      </c>
      <c r="T123" s="1509">
        <f t="shared" si="39"/>
        <v>0</v>
      </c>
      <c r="U123" s="1511">
        <f t="shared" si="40"/>
        <v>0</v>
      </c>
      <c r="V123" s="1509">
        <f t="shared" si="10"/>
        <v>0</v>
      </c>
      <c r="W123" s="1454">
        <f t="shared" si="86"/>
        <v>0.5</v>
      </c>
      <c r="X123" s="530">
        <f t="shared" si="41"/>
        <v>3033.4854703020706</v>
      </c>
      <c r="Y123" s="528">
        <f t="shared" si="79"/>
        <v>3033.4854703020706</v>
      </c>
      <c r="Z123" s="528">
        <f t="shared" si="80"/>
        <v>11302.920249555118</v>
      </c>
      <c r="AA123" s="530">
        <f t="shared" si="81"/>
        <v>8405.4720642453121</v>
      </c>
      <c r="AB123" s="1091">
        <f t="shared" si="42"/>
        <v>0.74365490321637462</v>
      </c>
      <c r="AC123" s="135" t="str">
        <f t="shared" si="43"/>
        <v>Yes</v>
      </c>
      <c r="AD123" s="1091">
        <f t="shared" si="44"/>
        <v>0.74365490321637462</v>
      </c>
      <c r="AE123" s="649">
        <f t="shared" si="11"/>
        <v>0.39214758076794598</v>
      </c>
      <c r="AF123" s="530">
        <f t="shared" si="45"/>
        <v>257.8893723283731</v>
      </c>
      <c r="AG123" s="527">
        <f t="shared" si="46"/>
        <v>2897.4481853098064</v>
      </c>
      <c r="AH123" s="528">
        <f t="shared" si="82"/>
        <v>8456.3408280783351</v>
      </c>
      <c r="AI123" s="528">
        <f t="shared" si="83"/>
        <v>6437.6604656145792</v>
      </c>
      <c r="AJ123" s="528">
        <f t="shared" si="12"/>
        <v>960.59046118844435</v>
      </c>
      <c r="AK123" s="528">
        <f t="shared" si="47"/>
        <v>18752.039940191164</v>
      </c>
      <c r="AL123" s="716">
        <f t="shared" si="13"/>
        <v>0</v>
      </c>
      <c r="AM123" s="649">
        <f t="shared" si="48"/>
        <v>0.15451375927904881</v>
      </c>
      <c r="AN123" s="417">
        <f t="shared" si="49"/>
        <v>0.45095578161359912</v>
      </c>
      <c r="AO123" s="417">
        <f t="shared" si="50"/>
        <v>0.34330454106045127</v>
      </c>
      <c r="AP123" s="417">
        <f t="shared" si="51"/>
        <v>5.1225918046900867E-2</v>
      </c>
      <c r="AQ123" s="525">
        <f t="shared" si="52"/>
        <v>1</v>
      </c>
      <c r="AR123" s="1086">
        <f t="shared" si="14"/>
        <v>539.23918223609951</v>
      </c>
      <c r="AS123" s="938">
        <f t="shared" si="15"/>
        <v>683.90116701795614</v>
      </c>
      <c r="AT123" s="938">
        <f t="shared" si="16"/>
        <v>216.8225055313105</v>
      </c>
      <c r="AU123" s="938">
        <f t="shared" si="17"/>
        <v>0</v>
      </c>
      <c r="AV123" s="938">
        <f t="shared" si="18"/>
        <v>0</v>
      </c>
      <c r="AW123" s="938">
        <f t="shared" si="19"/>
        <v>0</v>
      </c>
      <c r="AX123" s="938">
        <f t="shared" si="20"/>
        <v>922.86983627641121</v>
      </c>
      <c r="AY123" s="938">
        <f t="shared" si="21"/>
        <v>133.42593691769505</v>
      </c>
      <c r="AZ123" s="938">
        <f t="shared" si="22"/>
        <v>193.93391056968571</v>
      </c>
      <c r="BA123" s="938">
        <f t="shared" si="23"/>
        <v>170.48330239449143</v>
      </c>
      <c r="BB123" s="938">
        <f t="shared" si="24"/>
        <v>36.772344366155643</v>
      </c>
      <c r="BC123" s="530">
        <f t="shared" si="53"/>
        <v>2897.4481853098059</v>
      </c>
      <c r="BD123" s="724">
        <f t="shared" si="54"/>
        <v>0</v>
      </c>
      <c r="BE123" s="436">
        <f t="shared" si="55"/>
        <v>0.1861083090182826</v>
      </c>
      <c r="BF123" s="624">
        <f t="shared" si="56"/>
        <v>0.2360356849469703</v>
      </c>
      <c r="BG123" s="624">
        <f t="shared" si="57"/>
        <v>7.4832228797260453E-2</v>
      </c>
      <c r="BH123" s="624">
        <f t="shared" si="58"/>
        <v>0</v>
      </c>
      <c r="BI123" s="624">
        <f t="shared" si="59"/>
        <v>0</v>
      </c>
      <c r="BJ123" s="624">
        <f t="shared" si="60"/>
        <v>0</v>
      </c>
      <c r="BK123" s="624">
        <f t="shared" si="61"/>
        <v>0.50302377723748637</v>
      </c>
      <c r="BL123" s="624">
        <f t="shared" si="62"/>
        <v>0.99999999999999978</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78.471761212304571</v>
      </c>
      <c r="BW123" s="114">
        <f t="shared" si="65"/>
        <v>0.70499831456786133</v>
      </c>
      <c r="BX123" s="1689">
        <f t="shared" si="25"/>
        <v>6.2103189300483761</v>
      </c>
      <c r="BY123" s="527">
        <f t="shared" si="66"/>
        <v>78.471761212304571</v>
      </c>
      <c r="BZ123" s="417">
        <f t="shared" si="67"/>
        <v>0.70499831456786133</v>
      </c>
      <c r="CA123" s="544">
        <f t="shared" si="26"/>
        <v>6.2103189300483761</v>
      </c>
      <c r="CB123" s="649">
        <f t="shared" si="27"/>
        <v>0.39214758076794598</v>
      </c>
      <c r="CC123" s="525">
        <f t="shared" si="68"/>
        <v>0.36561096029373097</v>
      </c>
      <c r="CD123" s="417">
        <f t="shared" si="28"/>
        <v>0.39214758076794598</v>
      </c>
      <c r="CE123" s="525">
        <f t="shared" si="69"/>
        <v>0.36561096029373097</v>
      </c>
      <c r="CG123" s="527">
        <f t="shared" si="70"/>
        <v>1596.5409086912262</v>
      </c>
      <c r="CH123" s="528">
        <f t="shared" si="71"/>
        <v>617.98430386887946</v>
      </c>
      <c r="CI123" s="528">
        <f t="shared" si="72"/>
        <v>2556.4555739927446</v>
      </c>
      <c r="CJ123" s="528">
        <f t="shared" si="73"/>
        <v>3636.1252119939754</v>
      </c>
      <c r="CK123" s="528">
        <f t="shared" si="74"/>
        <v>49.23482953150824</v>
      </c>
      <c r="CL123" s="528">
        <f t="shared" si="75"/>
        <v>8456.3408280783333</v>
      </c>
      <c r="CM123" s="646">
        <f t="shared" si="76"/>
        <v>0</v>
      </c>
    </row>
    <row r="124" spans="1:91">
      <c r="A124" s="873">
        <f>'Input data'!A144</f>
        <v>2044</v>
      </c>
      <c r="B124" s="1551">
        <f>'Input data'!B144</f>
        <v>73.165122580420132</v>
      </c>
      <c r="C124" s="1550">
        <f>'Input data'!C144</f>
        <v>7506.518596985471</v>
      </c>
      <c r="D124" s="1552">
        <f>'Input data'!D144</f>
        <v>3747915.9816449117</v>
      </c>
      <c r="E124" s="1454">
        <f t="shared" si="29"/>
        <v>0.94814545454545418</v>
      </c>
      <c r="F124" s="1504">
        <f t="shared" si="30"/>
        <v>0.3531318181818181</v>
      </c>
      <c r="G124" s="1509">
        <f>B124*F124*'Input data'!$C$9</f>
        <v>790.79333787138808</v>
      </c>
      <c r="H124" s="1508">
        <f>'Input data'!I144</f>
        <v>424.26313389388866</v>
      </c>
      <c r="I124" s="1509">
        <f>'Input data'!K144</f>
        <v>31041.264197699562</v>
      </c>
      <c r="J124" s="1509">
        <f t="shared" si="94"/>
        <v>2730.2877130803945</v>
      </c>
      <c r="K124" s="1511">
        <f t="shared" si="78"/>
        <v>11695.160412255453</v>
      </c>
      <c r="L124" s="1504">
        <f t="shared" si="89"/>
        <v>0.57999999999999996</v>
      </c>
      <c r="M124" s="1504">
        <f t="shared" si="90"/>
        <v>0.437</v>
      </c>
      <c r="N124" s="1504">
        <f t="shared" si="91"/>
        <v>0.71200000000000008</v>
      </c>
      <c r="O124" s="1504">
        <f t="shared" si="92"/>
        <v>0.8</v>
      </c>
      <c r="P124" s="1504">
        <f t="shared" si="92"/>
        <v>0.23600000000000002</v>
      </c>
      <c r="Q124" s="1508">
        <f t="shared" si="36"/>
        <v>0</v>
      </c>
      <c r="R124" s="1509">
        <f t="shared" si="37"/>
        <v>0</v>
      </c>
      <c r="S124" s="1509">
        <f t="shared" si="38"/>
        <v>0</v>
      </c>
      <c r="T124" s="1509">
        <f t="shared" si="39"/>
        <v>0</v>
      </c>
      <c r="U124" s="1511">
        <f t="shared" si="40"/>
        <v>0</v>
      </c>
      <c r="V124" s="1509">
        <f t="shared" si="10"/>
        <v>0</v>
      </c>
      <c r="W124" s="1454">
        <f t="shared" si="86"/>
        <v>0.5</v>
      </c>
      <c r="X124" s="530">
        <f t="shared" si="41"/>
        <v>3033.4854703020706</v>
      </c>
      <c r="Y124" s="528">
        <f t="shared" si="79"/>
        <v>3033.4854703020706</v>
      </c>
      <c r="Z124" s="528">
        <f t="shared" si="80"/>
        <v>11391.962655033776</v>
      </c>
      <c r="AA124" s="530">
        <f t="shared" si="81"/>
        <v>8661.6749419533808</v>
      </c>
      <c r="AB124" s="1091">
        <f t="shared" si="42"/>
        <v>0.76033210468136847</v>
      </c>
      <c r="AC124" s="135" t="str">
        <f t="shared" si="43"/>
        <v>Yes</v>
      </c>
      <c r="AD124" s="1091">
        <f t="shared" si="44"/>
        <v>0.76033210468136847</v>
      </c>
      <c r="AE124" s="649">
        <f t="shared" si="11"/>
        <v>0.40142626362055789</v>
      </c>
      <c r="AF124" s="530">
        <f t="shared" si="45"/>
        <v>253.95276926291643</v>
      </c>
      <c r="AG124" s="527">
        <f t="shared" si="46"/>
        <v>2730.2877130803945</v>
      </c>
      <c r="AH124" s="528">
        <f t="shared" si="82"/>
        <v>8508.8625649483038</v>
      </c>
      <c r="AI124" s="528">
        <f t="shared" si="83"/>
        <v>6437.6604656145792</v>
      </c>
      <c r="AJ124" s="528">
        <f t="shared" si="12"/>
        <v>903.67474911515569</v>
      </c>
      <c r="AK124" s="528">
        <f t="shared" si="47"/>
        <v>18580.485492758431</v>
      </c>
      <c r="AL124" s="716">
        <f t="shared" si="13"/>
        <v>0</v>
      </c>
      <c r="AM124" s="649">
        <f t="shared" si="48"/>
        <v>0.14694383061973804</v>
      </c>
      <c r="AN124" s="417">
        <f t="shared" si="49"/>
        <v>0.45794619135568621</v>
      </c>
      <c r="AO124" s="417">
        <f t="shared" si="50"/>
        <v>0.34647428712902023</v>
      </c>
      <c r="AP124" s="417">
        <f t="shared" si="51"/>
        <v>4.863569089555568E-2</v>
      </c>
      <c r="AQ124" s="525">
        <f t="shared" si="52"/>
        <v>1.0000000000000002</v>
      </c>
      <c r="AR124" s="1086">
        <f t="shared" si="14"/>
        <v>509.27958779878134</v>
      </c>
      <c r="AS124" s="938">
        <f t="shared" si="15"/>
        <v>645.90429610419619</v>
      </c>
      <c r="AT124" s="938">
        <f t="shared" si="16"/>
        <v>203.97560792568441</v>
      </c>
      <c r="AU124" s="938">
        <f t="shared" si="17"/>
        <v>0</v>
      </c>
      <c r="AV124" s="938">
        <f t="shared" si="18"/>
        <v>0</v>
      </c>
      <c r="AW124" s="938">
        <f t="shared" si="19"/>
        <v>0</v>
      </c>
      <c r="AX124" s="938">
        <f t="shared" si="20"/>
        <v>868.18909978685019</v>
      </c>
      <c r="AY124" s="938">
        <f t="shared" si="21"/>
        <v>125.52034914065119</v>
      </c>
      <c r="AZ124" s="938">
        <f t="shared" si="22"/>
        <v>182.44317954412975</v>
      </c>
      <c r="BA124" s="938">
        <f t="shared" si="23"/>
        <v>160.38203765740099</v>
      </c>
      <c r="BB124" s="938">
        <f t="shared" si="24"/>
        <v>34.59355512269952</v>
      </c>
      <c r="BC124" s="530">
        <f t="shared" si="53"/>
        <v>2730.2877130803931</v>
      </c>
      <c r="BD124" s="724">
        <f t="shared" si="54"/>
        <v>0</v>
      </c>
      <c r="BE124" s="436">
        <f t="shared" si="55"/>
        <v>0.18652964131175637</v>
      </c>
      <c r="BF124" s="624">
        <f t="shared" si="56"/>
        <v>0.23657004828090716</v>
      </c>
      <c r="BG124" s="624">
        <f t="shared" si="57"/>
        <v>7.470846641856399E-2</v>
      </c>
      <c r="BH124" s="624">
        <f t="shared" si="58"/>
        <v>0</v>
      </c>
      <c r="BI124" s="624">
        <f t="shared" si="59"/>
        <v>0</v>
      </c>
      <c r="BJ124" s="624">
        <f t="shared" si="60"/>
        <v>0</v>
      </c>
      <c r="BK124" s="624">
        <f t="shared" si="61"/>
        <v>0.5021918439887727</v>
      </c>
      <c r="BL124" s="624">
        <f t="shared" si="62"/>
        <v>1.0000000000000002</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77.721660928013421</v>
      </c>
      <c r="BW124" s="114">
        <f t="shared" si="65"/>
        <v>0.71848332404179704</v>
      </c>
      <c r="BX124" s="1689">
        <f t="shared" si="25"/>
        <v>3.7479159816449119</v>
      </c>
      <c r="BY124" s="527">
        <f t="shared" si="66"/>
        <v>77.721660928013421</v>
      </c>
      <c r="BZ124" s="417">
        <f t="shared" si="67"/>
        <v>0.71848332404179704</v>
      </c>
      <c r="CA124" s="544">
        <f t="shared" si="26"/>
        <v>3.7479159816449119</v>
      </c>
      <c r="CB124" s="649">
        <f t="shared" si="27"/>
        <v>0.40142626362055789</v>
      </c>
      <c r="CC124" s="525">
        <f t="shared" si="68"/>
        <v>0.37123443882954021</v>
      </c>
      <c r="CD124" s="417">
        <f t="shared" si="28"/>
        <v>0.40142626362055789</v>
      </c>
      <c r="CE124" s="525">
        <f t="shared" si="69"/>
        <v>0.37123443882954021</v>
      </c>
      <c r="CG124" s="527">
        <f t="shared" si="70"/>
        <v>1606.4569117489552</v>
      </c>
      <c r="CH124" s="528">
        <f t="shared" si="71"/>
        <v>621.82256082392087</v>
      </c>
      <c r="CI124" s="528">
        <f t="shared" si="72"/>
        <v>2572.3335393807038</v>
      </c>
      <c r="CJ124" s="528">
        <f t="shared" si="73"/>
        <v>3658.7089294071261</v>
      </c>
      <c r="CK124" s="528">
        <f t="shared" si="74"/>
        <v>49.540623587597544</v>
      </c>
      <c r="CL124" s="528">
        <f t="shared" si="75"/>
        <v>8508.8625649483038</v>
      </c>
      <c r="CM124" s="646">
        <f t="shared" si="76"/>
        <v>0</v>
      </c>
    </row>
    <row r="125" spans="1:91">
      <c r="A125" s="873">
        <f>'Input data'!A145</f>
        <v>2045</v>
      </c>
      <c r="B125" s="1551">
        <f>'Input data'!B145</f>
        <v>73.619545999999971</v>
      </c>
      <c r="C125" s="1550">
        <f>'Input data'!C145</f>
        <v>7710.3236783048815</v>
      </c>
      <c r="D125" s="1552">
        <f>'Input data'!D145</f>
        <v>1285513.0332414466</v>
      </c>
      <c r="E125" s="1454">
        <f t="shared" si="29"/>
        <v>0.95678787878787841</v>
      </c>
      <c r="F125" s="1504">
        <f t="shared" si="30"/>
        <v>0.3554848484848484</v>
      </c>
      <c r="G125" s="1509">
        <f>B125*F125*'Input data'!$C$9</f>
        <v>801.00693591981212</v>
      </c>
      <c r="H125" s="1508">
        <f>'Input data'!I145</f>
        <v>424.26313389388866</v>
      </c>
      <c r="I125" s="1509">
        <f>'Input data'!K145</f>
        <v>31234.059301805282</v>
      </c>
      <c r="J125" s="1509">
        <f t="shared" si="94"/>
        <v>2563.1272408509826</v>
      </c>
      <c r="K125" s="1511">
        <f t="shared" si="78"/>
        <v>11951.916326068131</v>
      </c>
      <c r="L125" s="1504">
        <f t="shared" si="89"/>
        <v>0.57999999999999996</v>
      </c>
      <c r="M125" s="1504">
        <f t="shared" si="90"/>
        <v>0.437</v>
      </c>
      <c r="N125" s="1504">
        <f t="shared" si="91"/>
        <v>0.71200000000000008</v>
      </c>
      <c r="O125" s="1504">
        <f t="shared" si="92"/>
        <v>0.8</v>
      </c>
      <c r="P125" s="1504">
        <f t="shared" si="92"/>
        <v>0.23600000000000002</v>
      </c>
      <c r="Q125" s="1508">
        <f t="shared" si="36"/>
        <v>0</v>
      </c>
      <c r="R125" s="1509">
        <f t="shared" si="37"/>
        <v>0</v>
      </c>
      <c r="S125" s="1509">
        <f t="shared" si="38"/>
        <v>0</v>
      </c>
      <c r="T125" s="1509">
        <f t="shared" si="39"/>
        <v>0</v>
      </c>
      <c r="U125" s="1511">
        <f t="shared" si="40"/>
        <v>0</v>
      </c>
      <c r="V125" s="1509">
        <f t="shared" si="10"/>
        <v>0</v>
      </c>
      <c r="W125" s="1454">
        <f t="shared" si="86"/>
        <v>0.5</v>
      </c>
      <c r="X125" s="530">
        <f t="shared" si="41"/>
        <v>3033.4854703020706</v>
      </c>
      <c r="Y125" s="528">
        <f t="shared" si="79"/>
        <v>3033.4854703020706</v>
      </c>
      <c r="Z125" s="528">
        <f t="shared" si="80"/>
        <v>11481.558096617044</v>
      </c>
      <c r="AA125" s="530">
        <f t="shared" si="81"/>
        <v>8918.4308557660606</v>
      </c>
      <c r="AB125" s="1091">
        <f t="shared" si="42"/>
        <v>0.77676137513024568</v>
      </c>
      <c r="AC125" s="135" t="str">
        <f t="shared" si="43"/>
        <v>Yes</v>
      </c>
      <c r="AD125" s="1091">
        <f t="shared" si="44"/>
        <v>0.77676137513024568</v>
      </c>
      <c r="AE125" s="649">
        <f t="shared" si="11"/>
        <v>0.41059682127280317</v>
      </c>
      <c r="AF125" s="530">
        <f t="shared" si="45"/>
        <v>250.06203973382028</v>
      </c>
      <c r="AG125" s="527">
        <f t="shared" si="46"/>
        <v>2563.1272408509826</v>
      </c>
      <c r="AH125" s="528">
        <f t="shared" si="82"/>
        <v>8561.7105106241779</v>
      </c>
      <c r="AI125" s="528">
        <f t="shared" si="83"/>
        <v>6437.6604656145792</v>
      </c>
      <c r="AJ125" s="528">
        <f t="shared" si="12"/>
        <v>846.95561994806178</v>
      </c>
      <c r="AK125" s="528">
        <f t="shared" si="47"/>
        <v>18409.453837037803</v>
      </c>
      <c r="AL125" s="716">
        <f t="shared" si="13"/>
        <v>0</v>
      </c>
      <c r="AM125" s="649">
        <f t="shared" si="48"/>
        <v>0.13922885836483925</v>
      </c>
      <c r="AN125" s="417">
        <f t="shared" si="49"/>
        <v>0.46507140224871607</v>
      </c>
      <c r="AO125" s="417">
        <f t="shared" si="50"/>
        <v>0.3496931806125998</v>
      </c>
      <c r="AP125" s="417">
        <f t="shared" si="51"/>
        <v>4.6006558773844769E-2</v>
      </c>
      <c r="AQ125" s="525">
        <f t="shared" si="52"/>
        <v>0.99999999999999989</v>
      </c>
      <c r="AR125" s="1086">
        <f t="shared" si="14"/>
        <v>479.16893389735191</v>
      </c>
      <c r="AS125" s="938">
        <f t="shared" si="15"/>
        <v>607.71584092282706</v>
      </c>
      <c r="AT125" s="938">
        <f t="shared" si="16"/>
        <v>191.17308260979877</v>
      </c>
      <c r="AU125" s="938">
        <f t="shared" si="17"/>
        <v>0</v>
      </c>
      <c r="AV125" s="938">
        <f t="shared" si="18"/>
        <v>0</v>
      </c>
      <c r="AW125" s="938">
        <f t="shared" si="19"/>
        <v>0</v>
      </c>
      <c r="AX125" s="938">
        <f t="shared" si="20"/>
        <v>813.69722675344963</v>
      </c>
      <c r="AY125" s="938">
        <f t="shared" si="21"/>
        <v>117.6420667132863</v>
      </c>
      <c r="AZ125" s="938">
        <f t="shared" si="22"/>
        <v>170.99213670338293</v>
      </c>
      <c r="BA125" s="938">
        <f t="shared" si="23"/>
        <v>150.31566198531434</v>
      </c>
      <c r="BB125" s="938">
        <f t="shared" si="24"/>
        <v>32.422291265571054</v>
      </c>
      <c r="BC125" s="530">
        <f t="shared" si="53"/>
        <v>2563.1272408509817</v>
      </c>
      <c r="BD125" s="724">
        <f t="shared" si="54"/>
        <v>0</v>
      </c>
      <c r="BE125" s="436">
        <f t="shared" si="55"/>
        <v>0.18694699438263682</v>
      </c>
      <c r="BF125" s="624">
        <f t="shared" si="56"/>
        <v>0.23709936488407021</v>
      </c>
      <c r="BG125" s="624">
        <f t="shared" si="57"/>
        <v>7.4585872898891889E-2</v>
      </c>
      <c r="BH125" s="624">
        <f t="shared" si="58"/>
        <v>0</v>
      </c>
      <c r="BI125" s="624">
        <f t="shared" si="59"/>
        <v>0</v>
      </c>
      <c r="BJ125" s="624">
        <f t="shared" si="60"/>
        <v>0</v>
      </c>
      <c r="BK125" s="624">
        <f t="shared" si="61"/>
        <v>0.50136776783440118</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77.060957497347488</v>
      </c>
      <c r="BW125" s="114">
        <f t="shared" si="65"/>
        <v>0.73176336343185666</v>
      </c>
      <c r="BX125" s="1689">
        <f t="shared" si="25"/>
        <v>1.2855130332414466</v>
      </c>
      <c r="BY125" s="527">
        <f t="shared" si="66"/>
        <v>77.060957497347488</v>
      </c>
      <c r="BZ125" s="417">
        <f t="shared" si="67"/>
        <v>0.73176336343185666</v>
      </c>
      <c r="CA125" s="544">
        <f t="shared" si="26"/>
        <v>1.2855130332414466</v>
      </c>
      <c r="CB125" s="649">
        <f t="shared" si="27"/>
        <v>0.41059682127280317</v>
      </c>
      <c r="CC125" s="525">
        <f t="shared" si="68"/>
        <v>0.37637138389818148</v>
      </c>
      <c r="CD125" s="417">
        <f t="shared" si="28"/>
        <v>0.41059682127280317</v>
      </c>
      <c r="CE125" s="525">
        <f t="shared" si="69"/>
        <v>0.37637138389818148</v>
      </c>
      <c r="CG125" s="527">
        <f t="shared" si="70"/>
        <v>1616.4345024027839</v>
      </c>
      <c r="CH125" s="528">
        <f t="shared" si="71"/>
        <v>625.68465692238522</v>
      </c>
      <c r="CI125" s="528">
        <f t="shared" si="72"/>
        <v>2588.3101216925897</v>
      </c>
      <c r="CJ125" s="528">
        <f t="shared" si="73"/>
        <v>3681.4329126974026</v>
      </c>
      <c r="CK125" s="528">
        <f t="shared" si="74"/>
        <v>49.848316909016496</v>
      </c>
      <c r="CL125" s="528">
        <f t="shared" si="75"/>
        <v>8561.7105106241779</v>
      </c>
      <c r="CM125" s="646">
        <f t="shared" si="76"/>
        <v>0</v>
      </c>
    </row>
    <row r="126" spans="1:91">
      <c r="A126" s="873">
        <f>'Input data'!A146</f>
        <v>2046</v>
      </c>
      <c r="B126" s="1551">
        <f>'Input data'!B146</f>
        <v>73.995362001779526</v>
      </c>
      <c r="C126" s="1550">
        <f>'Input data'!C146</f>
        <v>7937.3408756753133</v>
      </c>
      <c r="D126" s="1552">
        <f>'Input data'!D146</f>
        <v>1075389.49817775</v>
      </c>
      <c r="E126" s="1454">
        <f t="shared" si="29"/>
        <v>0.96543030303030264</v>
      </c>
      <c r="F126" s="1504">
        <f t="shared" si="30"/>
        <v>0.3578378787878787</v>
      </c>
      <c r="G126" s="1509">
        <f>B126*F126*'Input data'!$C$9</f>
        <v>810.42505056127879</v>
      </c>
      <c r="H126" s="1508">
        <f>'Input data'!I146</f>
        <v>424.26313389388866</v>
      </c>
      <c r="I126" s="1509">
        <f>'Input data'!K146</f>
        <v>31393.50417648775</v>
      </c>
      <c r="J126" s="1509">
        <f t="shared" si="94"/>
        <v>2395.9667686215707</v>
      </c>
      <c r="K126" s="1511">
        <f>I126*$B$10-J126</f>
        <v>12193.173773019116</v>
      </c>
      <c r="L126" s="1504">
        <f t="shared" si="89"/>
        <v>0.57999999999999996</v>
      </c>
      <c r="M126" s="1504">
        <f t="shared" si="90"/>
        <v>0.437</v>
      </c>
      <c r="N126" s="1504">
        <f t="shared" si="91"/>
        <v>0.71200000000000008</v>
      </c>
      <c r="O126" s="1504">
        <f t="shared" si="92"/>
        <v>0.8</v>
      </c>
      <c r="P126" s="1504">
        <f t="shared" si="92"/>
        <v>0.23600000000000002</v>
      </c>
      <c r="Q126" s="1508">
        <f t="shared" si="36"/>
        <v>0</v>
      </c>
      <c r="R126" s="1509">
        <f t="shared" si="37"/>
        <v>0</v>
      </c>
      <c r="S126" s="1509">
        <f t="shared" si="38"/>
        <v>0</v>
      </c>
      <c r="T126" s="1509">
        <f t="shared" si="39"/>
        <v>0</v>
      </c>
      <c r="U126" s="1511">
        <f t="shared" si="40"/>
        <v>0</v>
      </c>
      <c r="V126" s="1509">
        <f t="shared" si="10"/>
        <v>0</v>
      </c>
      <c r="W126" s="1454">
        <f t="shared" si="86"/>
        <v>0.5</v>
      </c>
      <c r="X126" s="530">
        <f t="shared" si="41"/>
        <v>3033.4854703020706</v>
      </c>
      <c r="Y126" s="528">
        <f t="shared" si="79"/>
        <v>3033.4854703020706</v>
      </c>
      <c r="Z126" s="528">
        <f t="shared" si="80"/>
        <v>11555.655071338617</v>
      </c>
      <c r="AA126" s="530">
        <f t="shared" si="81"/>
        <v>9159.6883027170461</v>
      </c>
      <c r="AB126" s="1091">
        <f t="shared" si="42"/>
        <v>0.79265850755927592</v>
      </c>
      <c r="AC126" s="135" t="str">
        <f t="shared" si="43"/>
        <v>Yes</v>
      </c>
      <c r="AD126" s="1091">
        <f t="shared" si="44"/>
        <v>0.79265850755927592</v>
      </c>
      <c r="AE126" s="649">
        <f t="shared" si="11"/>
        <v>0.41931610360905747</v>
      </c>
      <c r="AF126" s="530">
        <f t="shared" si="45"/>
        <v>246.36276968453541</v>
      </c>
      <c r="AG126" s="527">
        <f t="shared" si="46"/>
        <v>2395.9667686215707</v>
      </c>
      <c r="AH126" s="528">
        <f t="shared" si="82"/>
        <v>8605.4166727417341</v>
      </c>
      <c r="AI126" s="528">
        <f t="shared" si="83"/>
        <v>6437.6604656145792</v>
      </c>
      <c r="AJ126" s="528">
        <f t="shared" si="12"/>
        <v>790.65841959034776</v>
      </c>
      <c r="AK126" s="528">
        <f t="shared" si="47"/>
        <v>18229.702326568233</v>
      </c>
      <c r="AL126" s="716">
        <f t="shared" si="13"/>
        <v>0</v>
      </c>
      <c r="AM126" s="649">
        <f t="shared" si="48"/>
        <v>0.13143202920706248</v>
      </c>
      <c r="AN126" s="417">
        <f t="shared" si="49"/>
        <v>0.47205470054220661</v>
      </c>
      <c r="AO126" s="417">
        <f t="shared" si="50"/>
        <v>0.35314128285201013</v>
      </c>
      <c r="AP126" s="417">
        <f t="shared" si="51"/>
        <v>4.3371987398720752E-2</v>
      </c>
      <c r="AQ126" s="525">
        <f t="shared" si="52"/>
        <v>0.99999999999999989</v>
      </c>
      <c r="AR126" s="1086">
        <f t="shared" si="14"/>
        <v>448.73405882597558</v>
      </c>
      <c r="AS126" s="938">
        <f t="shared" si="15"/>
        <v>569.11618558426801</v>
      </c>
      <c r="AT126" s="938">
        <f t="shared" si="16"/>
        <v>178.46579419798604</v>
      </c>
      <c r="AU126" s="938">
        <f t="shared" si="17"/>
        <v>0</v>
      </c>
      <c r="AV126" s="938">
        <f t="shared" si="18"/>
        <v>0</v>
      </c>
      <c r="AW126" s="938">
        <f t="shared" si="19"/>
        <v>0</v>
      </c>
      <c r="AX126" s="938">
        <f t="shared" si="20"/>
        <v>759.61071415924243</v>
      </c>
      <c r="AY126" s="938">
        <f t="shared" si="21"/>
        <v>109.8223901632215</v>
      </c>
      <c r="AZ126" s="938">
        <f t="shared" si="22"/>
        <v>159.62627720277024</v>
      </c>
      <c r="BA126" s="938">
        <f t="shared" si="23"/>
        <v>140.32416923129185</v>
      </c>
      <c r="BB126" s="938">
        <f t="shared" si="24"/>
        <v>30.267179256814391</v>
      </c>
      <c r="BC126" s="530">
        <f t="shared" si="53"/>
        <v>2395.9667686215698</v>
      </c>
      <c r="BD126" s="724">
        <f t="shared" si="54"/>
        <v>0</v>
      </c>
      <c r="BE126" s="436">
        <f t="shared" si="55"/>
        <v>0.18728726320529812</v>
      </c>
      <c r="BF126" s="624">
        <f t="shared" si="56"/>
        <v>0.23753091780638</v>
      </c>
      <c r="BG126" s="624">
        <f t="shared" si="57"/>
        <v>7.4485922148519484E-2</v>
      </c>
      <c r="BH126" s="624">
        <f t="shared" si="58"/>
        <v>0</v>
      </c>
      <c r="BI126" s="624">
        <f t="shared" si="59"/>
        <v>0</v>
      </c>
      <c r="BJ126" s="624">
        <f t="shared" si="60"/>
        <v>0</v>
      </c>
      <c r="BK126" s="624">
        <f t="shared" si="61"/>
        <v>0.50069589683980242</v>
      </c>
      <c r="BL126" s="624">
        <f t="shared" si="62"/>
        <v>1</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77.017733141941747</v>
      </c>
      <c r="BW126" s="114">
        <f t="shared" si="65"/>
        <v>0.74657885237874222</v>
      </c>
      <c r="BX126" s="1689">
        <f t="shared" si="25"/>
        <v>1.0753894981777501</v>
      </c>
      <c r="BY126" s="527">
        <f t="shared" si="66"/>
        <v>77.017733141941747</v>
      </c>
      <c r="BZ126" s="417">
        <f t="shared" si="67"/>
        <v>0.74657885237874222</v>
      </c>
      <c r="CA126" s="544">
        <f t="shared" si="26"/>
        <v>1.0753894981777501</v>
      </c>
      <c r="CB126" s="649">
        <f t="shared" si="27"/>
        <v>0.41931610360905747</v>
      </c>
      <c r="CC126" s="525">
        <f t="shared" si="68"/>
        <v>0.39123856418667069</v>
      </c>
      <c r="CD126" s="417">
        <f t="shared" si="28"/>
        <v>0.41931610360905747</v>
      </c>
      <c r="CE126" s="525">
        <f t="shared" si="69"/>
        <v>0.39123856418667069</v>
      </c>
      <c r="CG126" s="527">
        <f t="shared" si="70"/>
        <v>1624.6861418767837</v>
      </c>
      <c r="CH126" s="528">
        <f t="shared" si="71"/>
        <v>628.87867697433421</v>
      </c>
      <c r="CI126" s="528">
        <f t="shared" si="72"/>
        <v>2601.5230306841781</v>
      </c>
      <c r="CJ126" s="528">
        <f t="shared" si="73"/>
        <v>3700.2260386162934</v>
      </c>
      <c r="CK126" s="528">
        <f t="shared" si="74"/>
        <v>50.10278459014274</v>
      </c>
      <c r="CL126" s="528">
        <f t="shared" si="75"/>
        <v>8605.4166727417305</v>
      </c>
      <c r="CM126" s="646">
        <f t="shared" si="76"/>
        <v>0</v>
      </c>
    </row>
    <row r="127" spans="1:91" s="1" customFormat="1">
      <c r="A127" s="873">
        <f>'Input data'!A147</f>
        <v>2047</v>
      </c>
      <c r="B127" s="1551">
        <f>'Input data'!B147</f>
        <v>74.373096484110363</v>
      </c>
      <c r="C127" s="1550">
        <f>'Input data'!C147</f>
        <v>8114.689906663607</v>
      </c>
      <c r="D127" s="1552">
        <f>'Input data'!D147</f>
        <v>865265.96311405371</v>
      </c>
      <c r="E127" s="1454">
        <f t="shared" si="29"/>
        <v>0.97407272727272687</v>
      </c>
      <c r="F127" s="1504">
        <f t="shared" si="30"/>
        <v>0.36019090909090901</v>
      </c>
      <c r="G127" s="1509">
        <f>B127*F127*'Input data'!$C$9</f>
        <v>819.91844738595455</v>
      </c>
      <c r="H127" s="1508">
        <f>'Input data'!I147</f>
        <v>424.26313389388866</v>
      </c>
      <c r="I127" s="1509">
        <f>'Input data'!K147</f>
        <v>31553.762991741216</v>
      </c>
      <c r="J127" s="1509">
        <f>J97*(1-$C$6)</f>
        <v>2228.8062963921584</v>
      </c>
      <c r="K127" s="1511">
        <f t="shared" si="78"/>
        <v>12434.809473169109</v>
      </c>
      <c r="L127" s="1504">
        <f t="shared" si="89"/>
        <v>0.57999999999999996</v>
      </c>
      <c r="M127" s="1504">
        <f t="shared" si="90"/>
        <v>0.437</v>
      </c>
      <c r="N127" s="1504">
        <f t="shared" si="91"/>
        <v>0.71200000000000008</v>
      </c>
      <c r="O127" s="1504">
        <f t="shared" si="92"/>
        <v>0.8</v>
      </c>
      <c r="P127" s="1504">
        <f t="shared" si="92"/>
        <v>0.23600000000000002</v>
      </c>
      <c r="Q127" s="1508">
        <f t="shared" si="36"/>
        <v>0</v>
      </c>
      <c r="R127" s="1509">
        <f t="shared" si="37"/>
        <v>0</v>
      </c>
      <c r="S127" s="1509">
        <f t="shared" si="38"/>
        <v>0</v>
      </c>
      <c r="T127" s="1509">
        <f t="shared" si="39"/>
        <v>0</v>
      </c>
      <c r="U127" s="1511">
        <f t="shared" si="40"/>
        <v>0</v>
      </c>
      <c r="V127" s="1509">
        <f t="shared" si="10"/>
        <v>0</v>
      </c>
      <c r="W127" s="1454">
        <f t="shared" si="86"/>
        <v>0.5</v>
      </c>
      <c r="X127" s="530">
        <f t="shared" si="41"/>
        <v>3033.4854703020706</v>
      </c>
      <c r="Y127" s="528">
        <f t="shared" si="79"/>
        <v>3033.4854703020706</v>
      </c>
      <c r="Z127" s="528">
        <f t="shared" si="80"/>
        <v>11630.130299259197</v>
      </c>
      <c r="AA127" s="530">
        <f t="shared" si="81"/>
        <v>9401.3240028670389</v>
      </c>
      <c r="AB127" s="1091">
        <f t="shared" si="42"/>
        <v>0.80835930131117051</v>
      </c>
      <c r="AC127" s="135" t="str">
        <f t="shared" si="43"/>
        <v>Yes</v>
      </c>
      <c r="AD127" s="1091">
        <f t="shared" si="44"/>
        <v>0.80835930131117051</v>
      </c>
      <c r="AE127" s="649">
        <f t="shared" si="11"/>
        <v>0.4279500163115344</v>
      </c>
      <c r="AF127" s="530">
        <f t="shared" si="45"/>
        <v>242.69971882361628</v>
      </c>
      <c r="AG127" s="527">
        <f t="shared" si="46"/>
        <v>2228.8062963921584</v>
      </c>
      <c r="AH127" s="528">
        <f t="shared" si="82"/>
        <v>8649.3459478230707</v>
      </c>
      <c r="AI127" s="528">
        <f t="shared" si="83"/>
        <v>6437.6604656145792</v>
      </c>
      <c r="AJ127" s="528">
        <f t="shared" si="12"/>
        <v>734.51689490546516</v>
      </c>
      <c r="AK127" s="528">
        <f t="shared" si="47"/>
        <v>18050.329604735271</v>
      </c>
      <c r="AL127" s="716">
        <f t="shared" si="13"/>
        <v>0</v>
      </c>
      <c r="AM127" s="649">
        <f t="shared" si="48"/>
        <v>0.12347731843120803</v>
      </c>
      <c r="AN127" s="417">
        <f t="shared" si="49"/>
        <v>0.47917939102641244</v>
      </c>
      <c r="AO127" s="417">
        <f t="shared" si="50"/>
        <v>0.35665057683632229</v>
      </c>
      <c r="AP127" s="417">
        <f t="shared" si="51"/>
        <v>4.0692713706057433E-2</v>
      </c>
      <c r="AQ127" s="525">
        <f t="shared" si="52"/>
        <v>1.0000000000000002</v>
      </c>
      <c r="AR127" s="1086">
        <f t="shared" si="14"/>
        <v>418.17955848214643</v>
      </c>
      <c r="AS127" s="938">
        <f t="shared" si="15"/>
        <v>530.36481303722223</v>
      </c>
      <c r="AT127" s="938">
        <f t="shared" si="16"/>
        <v>165.79364457923589</v>
      </c>
      <c r="AU127" s="938">
        <f t="shared" si="17"/>
        <v>0</v>
      </c>
      <c r="AV127" s="938">
        <f t="shared" si="18"/>
        <v>0</v>
      </c>
      <c r="AW127" s="938">
        <f t="shared" si="19"/>
        <v>0</v>
      </c>
      <c r="AX127" s="938">
        <f t="shared" si="20"/>
        <v>705.67376413982981</v>
      </c>
      <c r="AY127" s="938">
        <f t="shared" si="21"/>
        <v>102.02433695144923</v>
      </c>
      <c r="AZ127" s="938">
        <f t="shared" si="22"/>
        <v>148.29184711274678</v>
      </c>
      <c r="BA127" s="938">
        <f t="shared" si="23"/>
        <v>130.36030542412979</v>
      </c>
      <c r="BB127" s="938">
        <f t="shared" si="24"/>
        <v>28.118026665397458</v>
      </c>
      <c r="BC127" s="530">
        <f t="shared" si="53"/>
        <v>2228.8062963921575</v>
      </c>
      <c r="BD127" s="724">
        <f t="shared" si="54"/>
        <v>0</v>
      </c>
      <c r="BE127" s="436">
        <f t="shared" si="55"/>
        <v>0.18762490000098597</v>
      </c>
      <c r="BF127" s="624">
        <f t="shared" si="56"/>
        <v>0.23795913260642762</v>
      </c>
      <c r="BG127" s="624">
        <f t="shared" si="57"/>
        <v>7.4386744531192123E-2</v>
      </c>
      <c r="BH127" s="624">
        <f t="shared" si="58"/>
        <v>0</v>
      </c>
      <c r="BI127" s="624">
        <f t="shared" si="59"/>
        <v>0</v>
      </c>
      <c r="BJ127" s="624">
        <f t="shared" si="60"/>
        <v>0</v>
      </c>
      <c r="BK127" s="624">
        <f t="shared" si="61"/>
        <v>0.5000292228613944</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76.773846562149316</v>
      </c>
      <c r="BW127" s="114">
        <f t="shared" si="65"/>
        <v>0.76008877750354209</v>
      </c>
      <c r="BX127" s="1689">
        <f t="shared" si="25"/>
        <v>0.86526596311405368</v>
      </c>
      <c r="BY127" s="527">
        <f t="shared" si="66"/>
        <v>76.773846562149316</v>
      </c>
      <c r="BZ127" s="417">
        <f t="shared" si="67"/>
        <v>0.76008877750354209</v>
      </c>
      <c r="CA127" s="544">
        <f t="shared" si="26"/>
        <v>0.86526596311405368</v>
      </c>
      <c r="CB127" s="649">
        <f t="shared" si="27"/>
        <v>0.4279500163115344</v>
      </c>
      <c r="CC127" s="525">
        <f t="shared" si="68"/>
        <v>0.40378263987809593</v>
      </c>
      <c r="CD127" s="417">
        <f t="shared" si="28"/>
        <v>0.4279500163115344</v>
      </c>
      <c r="CE127" s="525">
        <f t="shared" si="69"/>
        <v>0.40378263987809593</v>
      </c>
      <c r="CG127" s="527">
        <f t="shared" si="70"/>
        <v>1632.9799046498772</v>
      </c>
      <c r="CH127" s="528">
        <f t="shared" si="71"/>
        <v>632.08900198754372</v>
      </c>
      <c r="CI127" s="528">
        <f t="shared" si="72"/>
        <v>2614.8033894618484</v>
      </c>
      <c r="CJ127" s="528">
        <f t="shared" si="73"/>
        <v>3719.115100435738</v>
      </c>
      <c r="CK127" s="528">
        <f t="shared" si="74"/>
        <v>50.358551288061392</v>
      </c>
      <c r="CL127" s="528">
        <f t="shared" si="75"/>
        <v>8649.3459478230689</v>
      </c>
      <c r="CM127" s="646">
        <f t="shared" si="76"/>
        <v>0</v>
      </c>
    </row>
    <row r="128" spans="1:91">
      <c r="A128" s="873">
        <f>'Input data'!A148</f>
        <v>2048</v>
      </c>
      <c r="B128" s="1551">
        <f>'Input data'!B148</f>
        <v>74.752759240528661</v>
      </c>
      <c r="C128" s="1550">
        <f>'Input data'!C148</f>
        <v>8296.4877206561141</v>
      </c>
      <c r="D128" s="1552">
        <f>'Input data'!D148</f>
        <v>655142.42805035703</v>
      </c>
      <c r="E128" s="1454">
        <f t="shared" si="29"/>
        <v>0.9827151515151511</v>
      </c>
      <c r="F128" s="1504">
        <f t="shared" si="30"/>
        <v>0.36254393939393931</v>
      </c>
      <c r="G128" s="1509">
        <f>B128*F128*'Input data'!$C$9</f>
        <v>829.4876495705023</v>
      </c>
      <c r="H128" s="1508">
        <f>'Input data'!I148</f>
        <v>424.26313389388866</v>
      </c>
      <c r="I128" s="1509">
        <f>'Input data'!K148</f>
        <v>31714.839902602034</v>
      </c>
      <c r="J128" s="1509">
        <f>J127</f>
        <v>2228.8062963921584</v>
      </c>
      <c r="K128" s="1511">
        <f t="shared" si="78"/>
        <v>12509.664885210746</v>
      </c>
      <c r="L128" s="1504">
        <f t="shared" si="89"/>
        <v>0.57999999999999996</v>
      </c>
      <c r="M128" s="1504">
        <f t="shared" si="90"/>
        <v>0.437</v>
      </c>
      <c r="N128" s="1504">
        <f t="shared" si="91"/>
        <v>0.71200000000000008</v>
      </c>
      <c r="O128" s="1504">
        <f t="shared" si="92"/>
        <v>0.8</v>
      </c>
      <c r="P128" s="1504">
        <f t="shared" si="92"/>
        <v>0.23600000000000002</v>
      </c>
      <c r="Q128" s="1508">
        <f t="shared" si="36"/>
        <v>0</v>
      </c>
      <c r="R128" s="1509">
        <f t="shared" si="37"/>
        <v>0</v>
      </c>
      <c r="S128" s="1509">
        <f t="shared" si="38"/>
        <v>0</v>
      </c>
      <c r="T128" s="1509">
        <f t="shared" si="39"/>
        <v>0</v>
      </c>
      <c r="U128" s="1511">
        <f t="shared" si="40"/>
        <v>0</v>
      </c>
      <c r="V128" s="1509">
        <f t="shared" si="10"/>
        <v>0</v>
      </c>
      <c r="W128" s="1454">
        <f t="shared" si="86"/>
        <v>0.5</v>
      </c>
      <c r="X128" s="530">
        <f t="shared" si="41"/>
        <v>3033.4854703020706</v>
      </c>
      <c r="Y128" s="528">
        <f t="shared" si="79"/>
        <v>3033.4854703020706</v>
      </c>
      <c r="Z128" s="528">
        <f t="shared" si="80"/>
        <v>11704.985711300835</v>
      </c>
      <c r="AA128" s="530">
        <f t="shared" si="81"/>
        <v>9476.1794149086763</v>
      </c>
      <c r="AB128" s="1091">
        <f t="shared" si="42"/>
        <v>0.80958487678969926</v>
      </c>
      <c r="AC128" s="135" t="str">
        <f t="shared" si="43"/>
        <v>Yes</v>
      </c>
      <c r="AD128" s="1091">
        <f t="shared" si="44"/>
        <v>0.80958487678969926</v>
      </c>
      <c r="AE128" s="649">
        <f t="shared" si="11"/>
        <v>0.42949384463559215</v>
      </c>
      <c r="AF128" s="530">
        <f t="shared" si="45"/>
        <v>242.04472938065743</v>
      </c>
      <c r="AG128" s="527">
        <f t="shared" si="46"/>
        <v>2228.8062963921584</v>
      </c>
      <c r="AH128" s="528">
        <f t="shared" si="82"/>
        <v>8693.4994748241606</v>
      </c>
      <c r="AI128" s="528">
        <f t="shared" si="83"/>
        <v>6437.6604656145792</v>
      </c>
      <c r="AJ128" s="528">
        <f t="shared" si="12"/>
        <v>733.54514400029723</v>
      </c>
      <c r="AK128" s="528">
        <f t="shared" si="47"/>
        <v>18093.511380831198</v>
      </c>
      <c r="AL128" s="716">
        <f t="shared" si="13"/>
        <v>0</v>
      </c>
      <c r="AM128" s="649">
        <f t="shared" si="48"/>
        <v>0.12318262881540074</v>
      </c>
      <c r="AN128" s="417">
        <f t="shared" si="49"/>
        <v>0.48047608293624594</v>
      </c>
      <c r="AO128" s="417">
        <f t="shared" si="50"/>
        <v>0.35579939847578879</v>
      </c>
      <c r="AP128" s="417">
        <f t="shared" si="51"/>
        <v>4.0541889772564364E-2</v>
      </c>
      <c r="AQ128" s="525">
        <f t="shared" si="52"/>
        <v>0.99999999999999978</v>
      </c>
      <c r="AR128" s="1086">
        <f t="shared" si="14"/>
        <v>418.92627737966245</v>
      </c>
      <c r="AS128" s="938">
        <f t="shared" si="15"/>
        <v>531.31185461407483</v>
      </c>
      <c r="AT128" s="938">
        <f t="shared" si="16"/>
        <v>165.57430296121677</v>
      </c>
      <c r="AU128" s="938">
        <f t="shared" si="17"/>
        <v>0</v>
      </c>
      <c r="AV128" s="938">
        <f t="shared" si="18"/>
        <v>0</v>
      </c>
      <c r="AW128" s="938">
        <f t="shared" si="19"/>
        <v>0</v>
      </c>
      <c r="AX128" s="938">
        <f t="shared" si="20"/>
        <v>704.7401721097317</v>
      </c>
      <c r="AY128" s="938">
        <f t="shared" si="21"/>
        <v>101.88936082977064</v>
      </c>
      <c r="AZ128" s="938">
        <f t="shared" si="22"/>
        <v>148.09566001662915</v>
      </c>
      <c r="BA128" s="938">
        <f t="shared" si="23"/>
        <v>130.18784139277466</v>
      </c>
      <c r="BB128" s="938">
        <f t="shared" si="24"/>
        <v>28.080827088296978</v>
      </c>
      <c r="BC128" s="530">
        <f t="shared" si="53"/>
        <v>2228.8062963921575</v>
      </c>
      <c r="BD128" s="724">
        <f t="shared" si="54"/>
        <v>0</v>
      </c>
      <c r="BE128" s="436">
        <f t="shared" si="55"/>
        <v>0.18795993086424437</v>
      </c>
      <c r="BF128" s="624">
        <f t="shared" si="56"/>
        <v>0.23838404237915467</v>
      </c>
      <c r="BG128" s="624">
        <f t="shared" si="57"/>
        <v>7.4288332381884134E-2</v>
      </c>
      <c r="BH128" s="624">
        <f t="shared" si="58"/>
        <v>0</v>
      </c>
      <c r="BI128" s="624">
        <f t="shared" si="59"/>
        <v>0</v>
      </c>
      <c r="BJ128" s="624">
        <f t="shared" si="60"/>
        <v>0</v>
      </c>
      <c r="BK128" s="624">
        <f t="shared" si="61"/>
        <v>0.49936769437471668</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76.826041565265527</v>
      </c>
      <c r="BW128" s="114">
        <f t="shared" si="65"/>
        <v>0.77172104263881147</v>
      </c>
      <c r="BX128" s="1689">
        <f t="shared" si="25"/>
        <v>0.65514242805035705</v>
      </c>
      <c r="BY128" s="527">
        <f t="shared" si="66"/>
        <v>76.826041565265527</v>
      </c>
      <c r="BZ128" s="417">
        <f t="shared" si="67"/>
        <v>0.77172104263881147</v>
      </c>
      <c r="CA128" s="544">
        <f t="shared" si="26"/>
        <v>0.65514242805035705</v>
      </c>
      <c r="CB128" s="649">
        <f t="shared" si="27"/>
        <v>0.42949384463559215</v>
      </c>
      <c r="CC128" s="525">
        <f t="shared" si="68"/>
        <v>0.4154254996192146</v>
      </c>
      <c r="CD128" s="417">
        <f t="shared" si="28"/>
        <v>0.42949384463559215</v>
      </c>
      <c r="CE128" s="525">
        <f t="shared" si="69"/>
        <v>0.4154254996192146</v>
      </c>
      <c r="CG128" s="527">
        <f t="shared" si="70"/>
        <v>1641.3160057547641</v>
      </c>
      <c r="CH128" s="528">
        <f t="shared" si="71"/>
        <v>635.31571519623139</v>
      </c>
      <c r="CI128" s="528">
        <f t="shared" si="72"/>
        <v>2628.1515423459641</v>
      </c>
      <c r="CJ128" s="528">
        <f t="shared" si="73"/>
        <v>3738.1005878931555</v>
      </c>
      <c r="CK128" s="528">
        <f t="shared" si="74"/>
        <v>50.615623634045299</v>
      </c>
      <c r="CL128" s="528">
        <f t="shared" si="75"/>
        <v>8693.4994748241606</v>
      </c>
      <c r="CM128" s="646">
        <f t="shared" si="76"/>
        <v>0</v>
      </c>
    </row>
    <row r="129" spans="1:91">
      <c r="A129" s="127">
        <f>'Input data'!A149</f>
        <v>2049</v>
      </c>
      <c r="B129" s="662">
        <f>'Input data'!B149</f>
        <v>75.134360114565098</v>
      </c>
      <c r="C129" s="236">
        <f>'Input data'!C149</f>
        <v>8472.9909282566368</v>
      </c>
      <c r="D129" s="237">
        <f>'Input data'!D149</f>
        <v>445018.89298666047</v>
      </c>
      <c r="E129" s="649">
        <f t="shared" si="29"/>
        <v>0.99135757575757533</v>
      </c>
      <c r="F129" s="417">
        <f t="shared" si="30"/>
        <v>0.36489696969696961</v>
      </c>
      <c r="G129" s="528">
        <f>B129*F129*'Input data'!$C$9</f>
        <v>839.13318367124407</v>
      </c>
      <c r="H129" s="527">
        <f>'Input data'!I149</f>
        <v>424.26313389388866</v>
      </c>
      <c r="I129" s="528">
        <f>'Input data'!K149</f>
        <v>31876.739085317382</v>
      </c>
      <c r="J129" s="528">
        <f t="shared" ref="J129:J130" si="95">J128</f>
        <v>2228.8062963921584</v>
      </c>
      <c r="K129" s="530">
        <f t="shared" si="78"/>
        <v>12584.902422152543</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11780.223248242632</v>
      </c>
      <c r="AA129" s="530">
        <f t="shared" si="81"/>
        <v>9551.4169518504732</v>
      </c>
      <c r="AB129" s="1091">
        <f t="shared" si="42"/>
        <v>0.81080101374779545</v>
      </c>
      <c r="AC129" s="135" t="str">
        <f t="shared" si="43"/>
        <v>Yes</v>
      </c>
      <c r="AD129" s="1091">
        <f t="shared" si="44"/>
        <v>0.81080101374779545</v>
      </c>
      <c r="AE129" s="649">
        <f t="shared" si="11"/>
        <v>0.43102944159952994</v>
      </c>
      <c r="AF129" s="530">
        <f t="shared" si="45"/>
        <v>241.39323220033924</v>
      </c>
      <c r="AG129" s="527">
        <f t="shared" si="46"/>
        <v>2228.8062963921584</v>
      </c>
      <c r="AH129" s="528">
        <f t="shared" si="82"/>
        <v>8737.8783985151767</v>
      </c>
      <c r="AI129" s="528">
        <f t="shared" si="83"/>
        <v>6437.6604656145792</v>
      </c>
      <c r="AJ129" s="528">
        <f t="shared" si="12"/>
        <v>732.58087683720362</v>
      </c>
      <c r="AK129" s="528">
        <f t="shared" si="47"/>
        <v>18136.926037359121</v>
      </c>
      <c r="AL129" s="716">
        <f t="shared" si="13"/>
        <v>0</v>
      </c>
      <c r="AM129" s="649">
        <f t="shared" si="48"/>
        <v>0.12288776454186226</v>
      </c>
      <c r="AN129" s="417">
        <f t="shared" si="49"/>
        <v>0.48177284179891161</v>
      </c>
      <c r="AO129" s="417">
        <f t="shared" si="50"/>
        <v>0.35494771563571714</v>
      </c>
      <c r="AP129" s="417">
        <f t="shared" si="51"/>
        <v>4.0391678023508841E-2</v>
      </c>
      <c r="AQ129" s="525">
        <f t="shared" si="52"/>
        <v>0.99999999999999989</v>
      </c>
      <c r="AR129" s="1086">
        <f t="shared" si="14"/>
        <v>419.66724557337062</v>
      </c>
      <c r="AS129" s="938">
        <f t="shared" si="15"/>
        <v>532.25160274272309</v>
      </c>
      <c r="AT129" s="938">
        <f t="shared" si="16"/>
        <v>165.35665055808457</v>
      </c>
      <c r="AU129" s="938">
        <f t="shared" si="17"/>
        <v>0</v>
      </c>
      <c r="AV129" s="938">
        <f t="shared" si="18"/>
        <v>0</v>
      </c>
      <c r="AW129" s="938">
        <f t="shared" si="19"/>
        <v>0</v>
      </c>
      <c r="AX129" s="938">
        <f t="shared" si="20"/>
        <v>703.81376994888797</v>
      </c>
      <c r="AY129" s="938">
        <f t="shared" si="21"/>
        <v>101.75542419925743</v>
      </c>
      <c r="AZ129" s="938">
        <f t="shared" si="22"/>
        <v>147.90098381555453</v>
      </c>
      <c r="BA129" s="938">
        <f t="shared" si="23"/>
        <v>130.01670555810125</v>
      </c>
      <c r="BB129" s="938">
        <f t="shared" si="24"/>
        <v>28.043913996178219</v>
      </c>
      <c r="BC129" s="530">
        <f t="shared" si="53"/>
        <v>2228.8062963921579</v>
      </c>
      <c r="BD129" s="724">
        <f t="shared" si="54"/>
        <v>0</v>
      </c>
      <c r="BE129" s="436">
        <f t="shared" si="55"/>
        <v>0.1882923815554092</v>
      </c>
      <c r="BF129" s="624">
        <f t="shared" si="56"/>
        <v>0.23880567979563602</v>
      </c>
      <c r="BG129" s="624">
        <f t="shared" si="57"/>
        <v>7.419067813374039E-2</v>
      </c>
      <c r="BH129" s="624">
        <f t="shared" si="58"/>
        <v>0</v>
      </c>
      <c r="BI129" s="624">
        <f t="shared" si="59"/>
        <v>0</v>
      </c>
      <c r="BJ129" s="624">
        <f t="shared" si="60"/>
        <v>0</v>
      </c>
      <c r="BK129" s="624">
        <f t="shared" si="61"/>
        <v>0.49871126051521419</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76.899276675732651</v>
      </c>
      <c r="BW129" s="114">
        <f t="shared" si="65"/>
        <v>0.78277317764568066</v>
      </c>
      <c r="BX129" s="1689">
        <f t="shared" si="25"/>
        <v>0.44501889298666047</v>
      </c>
      <c r="BY129" s="527">
        <f t="shared" si="66"/>
        <v>76.899276675732651</v>
      </c>
      <c r="BZ129" s="417">
        <f t="shared" si="67"/>
        <v>0.78277317764568066</v>
      </c>
      <c r="CA129" s="544">
        <f t="shared" si="26"/>
        <v>0.44501889298666047</v>
      </c>
      <c r="CB129" s="649">
        <f t="shared" si="27"/>
        <v>0.43102944159952994</v>
      </c>
      <c r="CC129" s="525">
        <f t="shared" si="68"/>
        <v>0.42605901340901708</v>
      </c>
      <c r="CD129" s="417">
        <f t="shared" si="28"/>
        <v>0.43102944159952994</v>
      </c>
      <c r="CE129" s="525">
        <f t="shared" si="69"/>
        <v>0.42605901340901708</v>
      </c>
      <c r="CG129" s="527">
        <f t="shared" si="70"/>
        <v>1649.6946613218543</v>
      </c>
      <c r="CH129" s="528">
        <f t="shared" si="71"/>
        <v>638.55890025951294</v>
      </c>
      <c r="CI129" s="528">
        <f t="shared" si="72"/>
        <v>2641.5678354145912</v>
      </c>
      <c r="CJ129" s="528">
        <f t="shared" si="73"/>
        <v>3757.182993225998</v>
      </c>
      <c r="CK129" s="528">
        <f t="shared" si="74"/>
        <v>50.874008293218921</v>
      </c>
      <c r="CL129" s="528">
        <f t="shared" si="75"/>
        <v>8737.8783985151731</v>
      </c>
      <c r="CM129" s="646">
        <f t="shared" si="76"/>
        <v>0</v>
      </c>
    </row>
    <row r="130" spans="1:91" ht="15.75" thickBot="1">
      <c r="A130" s="172">
        <f>'Input data'!A150</f>
        <v>2050</v>
      </c>
      <c r="B130" s="664">
        <f>'Input data'!B150</f>
        <v>75.517908999999989</v>
      </c>
      <c r="C130" s="239">
        <f>'Input data'!C150</f>
        <v>8654.8011856383091</v>
      </c>
      <c r="D130" s="240">
        <f>'Input data'!D150</f>
        <v>234895.35792296397</v>
      </c>
      <c r="E130" s="650">
        <f>C51</f>
        <v>1</v>
      </c>
      <c r="F130" s="651">
        <f>D51</f>
        <v>0.36725000000000002</v>
      </c>
      <c r="G130" s="667">
        <f>B130*F130*'Input data'!$C$9</f>
        <v>848.85557964503187</v>
      </c>
      <c r="H130" s="670">
        <f>'Input data'!I150</f>
        <v>424.26313389388866</v>
      </c>
      <c r="I130" s="667">
        <f>'Input data'!K150</f>
        <v>32039.464737453494</v>
      </c>
      <c r="J130" s="667">
        <f t="shared" si="95"/>
        <v>2228.8062963921584</v>
      </c>
      <c r="K130" s="659">
        <f t="shared" si="78"/>
        <v>12660.52403468097</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11855.844860771058</v>
      </c>
      <c r="AA130" s="659">
        <f t="shared" si="81"/>
        <v>9627.0385643788995</v>
      </c>
      <c r="AB130" s="1094">
        <f t="shared" si="42"/>
        <v>0.81200780521623617</v>
      </c>
      <c r="AC130" s="1105" t="str">
        <f t="shared" si="43"/>
        <v>Yes</v>
      </c>
      <c r="AD130" s="1094">
        <f t="shared" si="44"/>
        <v>0.81200780521623617</v>
      </c>
      <c r="AE130" s="650">
        <f t="shared" si="11"/>
        <v>0.43255685448712144</v>
      </c>
      <c r="AF130" s="659">
        <f t="shared" si="45"/>
        <v>240.74520722189973</v>
      </c>
      <c r="AG130" s="670">
        <f t="shared" si="46"/>
        <v>2228.8062963921584</v>
      </c>
      <c r="AH130" s="667">
        <f t="shared" si="82"/>
        <v>8782.483869510148</v>
      </c>
      <c r="AI130" s="667">
        <f t="shared" si="83"/>
        <v>6437.6604656145792</v>
      </c>
      <c r="AJ130" s="667">
        <f t="shared" si="12"/>
        <v>731.62401965267998</v>
      </c>
      <c r="AK130" s="667">
        <f t="shared" si="47"/>
        <v>18180.574651169565</v>
      </c>
      <c r="AL130" s="717">
        <f t="shared" si="13"/>
        <v>0</v>
      </c>
      <c r="AM130" s="650">
        <f t="shared" si="48"/>
        <v>0.12259273093157032</v>
      </c>
      <c r="AN130" s="651">
        <f t="shared" si="49"/>
        <v>0.48306965197852897</v>
      </c>
      <c r="AO130" s="651">
        <f t="shared" si="50"/>
        <v>0.35409554368516294</v>
      </c>
      <c r="AP130" s="651">
        <f t="shared" si="51"/>
        <v>4.0242073404737747E-2</v>
      </c>
      <c r="AQ130" s="652">
        <f t="shared" si="52"/>
        <v>1</v>
      </c>
      <c r="AR130" s="1474">
        <f t="shared" si="14"/>
        <v>420.40251974508266</v>
      </c>
      <c r="AS130" s="1475">
        <f t="shared" si="15"/>
        <v>533.18412931103887</v>
      </c>
      <c r="AT130" s="1475">
        <f t="shared" si="16"/>
        <v>165.14067072009269</v>
      </c>
      <c r="AU130" s="1475">
        <f t="shared" si="17"/>
        <v>0</v>
      </c>
      <c r="AV130" s="1475">
        <f t="shared" si="18"/>
        <v>0</v>
      </c>
      <c r="AW130" s="1475">
        <f t="shared" si="19"/>
        <v>0</v>
      </c>
      <c r="AX130" s="1475">
        <f t="shared" si="20"/>
        <v>702.89448679035161</v>
      </c>
      <c r="AY130" s="1475">
        <f t="shared" si="21"/>
        <v>101.62251681416477</v>
      </c>
      <c r="AZ130" s="1475">
        <f t="shared" si="22"/>
        <v>147.70780361738585</v>
      </c>
      <c r="BA130" s="1475">
        <f t="shared" si="23"/>
        <v>129.84688482873898</v>
      </c>
      <c r="BB130" s="1475">
        <f t="shared" si="24"/>
        <v>28.007284565301919</v>
      </c>
      <c r="BC130" s="659">
        <f t="shared" si="53"/>
        <v>2228.8062963921575</v>
      </c>
      <c r="BD130" s="725">
        <f t="shared" si="54"/>
        <v>0</v>
      </c>
      <c r="BE130" s="683">
        <f t="shared" si="55"/>
        <v>0.18862227750594662</v>
      </c>
      <c r="BF130" s="683">
        <f>AS130/BC130</f>
        <v>0.239224077109851</v>
      </c>
      <c r="BG130" s="683">
        <f t="shared" si="57"/>
        <v>7.4093774316508057E-2</v>
      </c>
      <c r="BH130" s="683">
        <f t="shared" si="58"/>
        <v>0</v>
      </c>
      <c r="BI130" s="683">
        <f t="shared" si="59"/>
        <v>0</v>
      </c>
      <c r="BJ130" s="683">
        <f t="shared" si="60"/>
        <v>0</v>
      </c>
      <c r="BK130" s="683">
        <f t="shared" si="61"/>
        <v>0.49805987106769423</v>
      </c>
      <c r="BL130" s="683">
        <f t="shared" si="62"/>
        <v>0.99999999999999989</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77.045303490688354</v>
      </c>
      <c r="BW130" s="651">
        <f t="shared" si="65"/>
        <v>0.79341053581755405</v>
      </c>
      <c r="BX130" s="1690">
        <f t="shared" si="25"/>
        <v>0.23489535792296398</v>
      </c>
      <c r="BY130" s="670">
        <f t="shared" si="66"/>
        <v>77.045303490688354</v>
      </c>
      <c r="BZ130" s="651">
        <f t="shared" si="67"/>
        <v>0.79341053581755405</v>
      </c>
      <c r="CA130" s="675">
        <f t="shared" si="26"/>
        <v>0.23489535792296398</v>
      </c>
      <c r="CB130" s="650">
        <f t="shared" si="27"/>
        <v>0.43255685448712144</v>
      </c>
      <c r="CC130" s="652">
        <f t="shared" si="68"/>
        <v>0.43595199201773283</v>
      </c>
      <c r="CD130" s="651">
        <f t="shared" si="28"/>
        <v>0.43255685448712144</v>
      </c>
      <c r="CE130" s="652">
        <f t="shared" si="69"/>
        <v>0.43595199201773283</v>
      </c>
      <c r="CG130" s="670">
        <f t="shared" si="70"/>
        <v>1658.1160885848681</v>
      </c>
      <c r="CH130" s="667">
        <f t="shared" si="71"/>
        <v>641.81864126357038</v>
      </c>
      <c r="CI130" s="667">
        <f t="shared" si="72"/>
        <v>2655.0526165124675</v>
      </c>
      <c r="CJ130" s="667">
        <f t="shared" si="73"/>
        <v>3776.362811184511</v>
      </c>
      <c r="CK130" s="667">
        <f t="shared" si="74"/>
        <v>51.13371196473107</v>
      </c>
      <c r="CL130" s="667">
        <f t="shared" si="75"/>
        <v>8782.483869510148</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19" t="s">
        <v>602</v>
      </c>
      <c r="B134" s="1898"/>
      <c r="C134" s="1898"/>
      <c r="D134" s="1899"/>
      <c r="E134" s="1826" t="s">
        <v>603</v>
      </c>
      <c r="F134" s="1827"/>
      <c r="G134" s="1827"/>
      <c r="H134" s="1827"/>
      <c r="I134" s="1828"/>
      <c r="J134" s="1829" t="s">
        <v>604</v>
      </c>
      <c r="K134" s="1830"/>
      <c r="L134" s="1831"/>
      <c r="M134" s="1832" t="s">
        <v>764</v>
      </c>
      <c r="N134" s="1834" t="s">
        <v>607</v>
      </c>
      <c r="O134" s="1897"/>
      <c r="P134" s="1813" t="s">
        <v>594</v>
      </c>
      <c r="Q134" s="1815" t="s">
        <v>772</v>
      </c>
      <c r="R134" s="1815" t="s">
        <v>775</v>
      </c>
      <c r="S134" s="1815" t="s">
        <v>774</v>
      </c>
      <c r="T134" s="1847" t="s">
        <v>776</v>
      </c>
      <c r="U134" s="1880" t="s">
        <v>777</v>
      </c>
      <c r="V134" s="1817" t="s">
        <v>767</v>
      </c>
      <c r="W134" s="1819" t="s">
        <v>768</v>
      </c>
      <c r="X134" s="1882" t="s">
        <v>592</v>
      </c>
      <c r="Y134" s="1883"/>
      <c r="Z134" s="1883"/>
      <c r="AA134" s="1883"/>
      <c r="AB134" s="1883"/>
      <c r="AC134" s="1883"/>
      <c r="AD134" s="1883"/>
      <c r="AE134" s="1884"/>
      <c r="AF134" s="1884"/>
      <c r="AG134" s="1884"/>
      <c r="AH134" s="1884"/>
      <c r="AI134" s="1884"/>
      <c r="AJ134" s="1885"/>
      <c r="AK134" s="1891" t="s">
        <v>735</v>
      </c>
      <c r="AL134" s="1892"/>
      <c r="AM134" s="1892"/>
      <c r="AN134" s="1892"/>
      <c r="AO134" s="1893"/>
    </row>
    <row r="135" spans="1:91" ht="58.9" customHeight="1">
      <c r="A135" s="1822" t="s">
        <v>217</v>
      </c>
      <c r="B135" s="703" t="s">
        <v>218</v>
      </c>
      <c r="C135" s="703" t="s">
        <v>390</v>
      </c>
      <c r="D135" s="513" t="s">
        <v>629</v>
      </c>
      <c r="E135" s="704" t="s">
        <v>786</v>
      </c>
      <c r="F135" s="704" t="s">
        <v>787</v>
      </c>
      <c r="G135" s="704" t="s">
        <v>771</v>
      </c>
      <c r="H135" s="704" t="s">
        <v>597</v>
      </c>
      <c r="I135" s="704" t="s">
        <v>626</v>
      </c>
      <c r="J135" s="1461" t="s">
        <v>326</v>
      </c>
      <c r="K135" s="1633" t="s">
        <v>765</v>
      </c>
      <c r="L135" s="706" t="s">
        <v>766</v>
      </c>
      <c r="M135" s="1833"/>
      <c r="N135" s="508" t="s">
        <v>605</v>
      </c>
      <c r="O135" s="511" t="s">
        <v>606</v>
      </c>
      <c r="P135" s="1814"/>
      <c r="Q135" s="1816"/>
      <c r="R135" s="1816"/>
      <c r="S135" s="1816"/>
      <c r="T135" s="1848"/>
      <c r="U135" s="1881"/>
      <c r="V135" s="1818"/>
      <c r="W135" s="1820"/>
      <c r="X135" s="1464" t="s">
        <v>473</v>
      </c>
      <c r="Y135" s="1465" t="s">
        <v>489</v>
      </c>
      <c r="Z135" s="1465" t="s">
        <v>815</v>
      </c>
      <c r="AA135" s="1465" t="s">
        <v>377</v>
      </c>
      <c r="AB135" s="1465" t="s">
        <v>477</v>
      </c>
      <c r="AC135" s="1465" t="s">
        <v>225</v>
      </c>
      <c r="AD135" s="713" t="s">
        <v>617</v>
      </c>
      <c r="AE135" s="1092" t="s">
        <v>473</v>
      </c>
      <c r="AF135" s="1463" t="s">
        <v>489</v>
      </c>
      <c r="AG135" s="1463" t="s">
        <v>376</v>
      </c>
      <c r="AH135" s="1463" t="s">
        <v>377</v>
      </c>
      <c r="AI135" s="1463" t="s">
        <v>477</v>
      </c>
      <c r="AJ135" s="718" t="s">
        <v>225</v>
      </c>
      <c r="AK135" s="1464" t="s">
        <v>731</v>
      </c>
      <c r="AL135" s="1465" t="s">
        <v>493</v>
      </c>
      <c r="AM135" s="1465" t="s">
        <v>732</v>
      </c>
      <c r="AN135" s="1465" t="s">
        <v>225</v>
      </c>
      <c r="AO135" s="713" t="s">
        <v>617</v>
      </c>
    </row>
    <row r="136" spans="1:91" ht="61.15" customHeight="1" thickBot="1">
      <c r="A136" s="1849"/>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1472" t="s">
        <v>229</v>
      </c>
      <c r="O136" s="1642" t="s">
        <v>228</v>
      </c>
      <c r="P136" s="1115" t="s">
        <v>228</v>
      </c>
      <c r="Q136" s="1116" t="s">
        <v>228</v>
      </c>
      <c r="R136" s="1116" t="s">
        <v>228</v>
      </c>
      <c r="S136" s="1117" t="s">
        <v>28</v>
      </c>
      <c r="T136" s="1848"/>
      <c r="U136" s="1117" t="s">
        <v>28</v>
      </c>
      <c r="V136" s="1116" t="s">
        <v>228</v>
      </c>
      <c r="W136" s="1496"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6"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3117.5115237718705</v>
      </c>
      <c r="D137" s="738">
        <f>'Input data'!D117</f>
        <v>49995051</v>
      </c>
      <c r="E137" s="956">
        <f>'Input data'!J117*C137</f>
        <v>37506.923384615395</v>
      </c>
      <c r="F137" s="957">
        <f>'Input data'!L117</f>
        <v>87501.974384615402</v>
      </c>
      <c r="G137" s="957">
        <f>F137*B11</f>
        <v>68439.708347615408</v>
      </c>
      <c r="H137" s="677">
        <f t="shared" ref="H137" si="96">E137*$B$12+I137*$E$80-G137</f>
        <v>0</v>
      </c>
      <c r="I137" s="1467">
        <f>D137/1000</f>
        <v>49995.050999999999</v>
      </c>
      <c r="J137" s="647">
        <f>H17</f>
        <v>6.154773859516615E-2</v>
      </c>
      <c r="K137" s="1501">
        <f>(I137)*J137-(I137)*$J$137</f>
        <v>0</v>
      </c>
      <c r="L137" s="1501">
        <f>(E137)*$C$12*$G$12-(E137)*$C$12*$G$12</f>
        <v>0</v>
      </c>
      <c r="M137" s="1501">
        <f>L137+K137</f>
        <v>0</v>
      </c>
      <c r="N137" s="1453">
        <v>0</v>
      </c>
      <c r="O137" s="1503">
        <f>N137*$E$137*($C$85)*$B$12</f>
        <v>0</v>
      </c>
      <c r="P137" s="1691">
        <f>O137+M137</f>
        <v>0</v>
      </c>
      <c r="Q137" s="1484">
        <f>E137*$B$12+(1-$J$137)*I137-P137</f>
        <v>68439.708347615408</v>
      </c>
      <c r="R137" s="1484">
        <f>Q137-G137</f>
        <v>0</v>
      </c>
      <c r="S137" s="1119">
        <f>R137/(Q137-I137*(1-J137))</f>
        <v>0</v>
      </c>
      <c r="T137" s="1489" t="str">
        <f>IF(AND(S137&gt;=0,S137&lt;=1),"Yes","No")</f>
        <v>Yes</v>
      </c>
      <c r="U137" s="1119">
        <f>IF(S137&lt;=0,0,IF(S137&gt;=1,1,S137))</f>
        <v>0</v>
      </c>
      <c r="V137" s="1493">
        <f t="shared" ref="V137:V170" si="97">AC137</f>
        <v>87501.974384615402</v>
      </c>
      <c r="W137" s="1490">
        <f t="shared" ref="W137:W170" si="98">(1-V137/F137)</f>
        <v>0</v>
      </c>
      <c r="X137" s="956">
        <f>(E137*$B$12-O137-L137)*(1-U137)+I137*(1-J137)</f>
        <v>68439.708347615408</v>
      </c>
      <c r="Y137" s="1501">
        <f>I137*J137+E137*$G$12*$C$12</f>
        <v>6080.5670370000007</v>
      </c>
      <c r="Z137" s="957">
        <f>($C$12*$H$12*E137+O137)</f>
        <v>1694.9190000000001</v>
      </c>
      <c r="AA137" s="957">
        <f>$F$137*$D$11</f>
        <v>0</v>
      </c>
      <c r="AB137" s="957">
        <f>E137*$E$12</f>
        <v>11286.78</v>
      </c>
      <c r="AC137" s="957">
        <f>SUM(X137:AB137)</f>
        <v>87501.974384615402</v>
      </c>
      <c r="AD137" s="1486">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7">
        <f>I137*(1-$J$137)-K137</f>
        <v>46917.968670000002</v>
      </c>
      <c r="AL137" s="1498">
        <f>(E137*$C$86*$B$12-L137)*(1-U137)</f>
        <v>20017.905677615392</v>
      </c>
      <c r="AM137" s="1498">
        <f>(E137*($C$85)*$B$12-O137)*(1-U137)</f>
        <v>1503.8340000000005</v>
      </c>
      <c r="AN137" s="1498">
        <f>SUM(AK137:AM137)</f>
        <v>68439.708347615393</v>
      </c>
      <c r="AO137" s="1563">
        <f>AN137-X137</f>
        <v>0</v>
      </c>
    </row>
    <row r="138" spans="1:91">
      <c r="A138" s="127">
        <f>'Input data'!A118</f>
        <v>2018</v>
      </c>
      <c r="B138" s="662">
        <f>'Input data'!B118</f>
        <v>57.436000617299655</v>
      </c>
      <c r="C138" s="236">
        <f>'Input data'!C118</f>
        <v>3154.0370052724184</v>
      </c>
      <c r="D138" s="236">
        <f>'Input data'!D118</f>
        <v>50359792.847133137</v>
      </c>
      <c r="E138" s="527">
        <f>'Input data'!J118*C138</f>
        <v>37946.363119089809</v>
      </c>
      <c r="F138" s="528">
        <f>'Input data'!L118</f>
        <v>88306.155966222956</v>
      </c>
      <c r="G138" s="528">
        <f>$G$137*(1+((($G$150/$G$137)^(1/($A$150-$A$137)))-1))^(A138-$A$137)</f>
        <v>64886.148572305057</v>
      </c>
      <c r="H138" s="528">
        <f>E138*$B$12+I138*$E$80-G138</f>
        <v>4148.0062349192594</v>
      </c>
      <c r="I138" s="530">
        <f t="shared" ref="I138:I170" si="99">D138/1000</f>
        <v>50359.79284713314</v>
      </c>
      <c r="J138" s="417">
        <f t="shared" ref="J138:J148" si="100">$J$137*(1+((($J$150/$J$137)^(1/($A$150-$A$137)))-1))^(A138-$A$137)</f>
        <v>6.7388021833337503E-2</v>
      </c>
      <c r="K138" s="1512">
        <f>(I138)*J138-(I138)*$J$137</f>
        <v>294.11545404289336</v>
      </c>
      <c r="L138" s="1512">
        <f t="shared" ref="L138:L170" si="101">(E138)*$C$12*$G$12-(E138)*$C$12*$G$12</f>
        <v>0</v>
      </c>
      <c r="M138" s="1509">
        <f>L138+K138</f>
        <v>294.11545404289336</v>
      </c>
      <c r="N138" s="1454">
        <f>($N$142-$N$137)/($A$102-$A$97)+N137</f>
        <v>0.05</v>
      </c>
      <c r="O138" s="1511">
        <f t="shared" ref="O138:O170" si="102">N138*$E$137*($C$85)*$B$12</f>
        <v>75.191700000000026</v>
      </c>
      <c r="P138" s="1692">
        <f>O138+M138</f>
        <v>369.30715404289339</v>
      </c>
      <c r="Q138" s="1364">
        <f t="shared" ref="Q138:Q170" si="103">E138*$B$12+(1-$J$137)*I138-P138</f>
        <v>68664.847653181423</v>
      </c>
      <c r="R138" s="1364">
        <f>Q138-G138</f>
        <v>3778.6990808763658</v>
      </c>
      <c r="S138" s="1091">
        <f t="shared" ref="S138:S170" si="104">R138/(Q138-I138*(1-J138))</f>
        <v>0.1741440177396035</v>
      </c>
      <c r="T138" s="135" t="str">
        <f t="shared" ref="T138:T170" si="105">IF(AND(S138&gt;=0,S138&lt;=1),"Yes","No")</f>
        <v>Yes</v>
      </c>
      <c r="U138" s="1091">
        <f t="shared" ref="U138:U170" si="106">IF(S138&lt;=0,0,IF(S138&gt;=1,1,S138))</f>
        <v>0.1741440177396035</v>
      </c>
      <c r="V138" s="1494">
        <f t="shared" si="97"/>
        <v>84527.45688534659</v>
      </c>
      <c r="W138" s="1491">
        <f t="shared" si="98"/>
        <v>4.2790890844820795E-2</v>
      </c>
      <c r="X138" s="527">
        <f t="shared" ref="X138:X170" si="107">(E138*$B$12-O138-L138)*(1-U138)+I138*(1-J138)</f>
        <v>64886.148572305057</v>
      </c>
      <c r="Y138" s="1509">
        <f t="shared" ref="Y138:Y170" si="108">I138*J138+E138*$G$12*$C$12</f>
        <v>6432.32104401378</v>
      </c>
      <c r="Z138" s="528">
        <f t="shared" ref="Z138:Z170" si="109">($C$12*$H$12*E138+O138)</f>
        <v>1789.9687605419947</v>
      </c>
      <c r="AA138" s="528">
        <f t="shared" ref="AA138:AA170" si="110">$F$137*$D$11</f>
        <v>0</v>
      </c>
      <c r="AB138" s="528">
        <f t="shared" ref="AB138:AB170" si="111">E138*$E$12</f>
        <v>11419.018508485759</v>
      </c>
      <c r="AC138" s="528">
        <f t="shared" ref="AC138:AC170" si="112">SUM(X138:AB138)</f>
        <v>84527.45688534659</v>
      </c>
      <c r="AD138" s="1487">
        <f t="shared" ref="AD138:AD170" si="113">X138-G138</f>
        <v>0</v>
      </c>
      <c r="AE138" s="417">
        <f t="shared" ref="AE138:AE170" si="114">X138/AC138</f>
        <v>0.76763398501763647</v>
      </c>
      <c r="AF138" s="417">
        <f t="shared" ref="AF138:AF170" si="115">Y138/AC138</f>
        <v>7.6097415928869219E-2</v>
      </c>
      <c r="AG138" s="417">
        <f t="shared" ref="AG138:AG170" si="116">Z138/AC138</f>
        <v>2.117618140304299E-2</v>
      </c>
      <c r="AH138" s="417">
        <f>AA138/AC138</f>
        <v>0</v>
      </c>
      <c r="AI138" s="417">
        <f t="shared" ref="AI138:AI169" si="117">AB138/AC138</f>
        <v>0.13509241765045132</v>
      </c>
      <c r="AJ138" s="525">
        <f t="shared" ref="AJ138:AJ170" si="118">SUM(AE138:AI138)</f>
        <v>1</v>
      </c>
      <c r="AK138" s="1497">
        <f t="shared" ref="AK138:AK170" si="119">I138*(1-$J$137)-K138</f>
        <v>46966.146027228184</v>
      </c>
      <c r="AL138" s="1498">
        <f t="shared" ref="AL138:AL170" si="120">(E138*$C$86*$B$12-L138)*(1-U138)</f>
        <v>16725.598779901986</v>
      </c>
      <c r="AM138" s="1498">
        <f t="shared" ref="AM138:AM170" si="121">(E138*($C$85)*$B$12-O138)*(1-U138)</f>
        <v>1194.4037651748863</v>
      </c>
      <c r="AN138" s="1498">
        <f t="shared" ref="AN138:AN170" si="122">SUM(AK138:AM138)</f>
        <v>64886.148572305057</v>
      </c>
      <c r="AO138" s="1563">
        <f t="shared" ref="AO138:AO170" si="123">AN138-X138</f>
        <v>0</v>
      </c>
    </row>
    <row r="139" spans="1:91">
      <c r="A139" s="127">
        <f>'Input data'!A119</f>
        <v>2019</v>
      </c>
      <c r="B139" s="662">
        <f>'Input data'!B119</f>
        <v>58.364834921819444</v>
      </c>
      <c r="C139" s="236">
        <f>'Input data'!C119</f>
        <v>4454.6933079776372</v>
      </c>
      <c r="D139" s="236">
        <f>'Input data'!D119</f>
        <v>53709279.804327965</v>
      </c>
      <c r="E139" s="527">
        <f>'Input data'!J119*C139</f>
        <v>53594.618441738487</v>
      </c>
      <c r="F139" s="528">
        <f>'Input data'!L119</f>
        <v>107303.89824606644</v>
      </c>
      <c r="G139" s="528">
        <f t="shared" ref="G139:G149" si="124">$G$137*(1+((($G$150/$G$137)^(1/($A$150-$A$137)))-1))^(A139-$A$137)</f>
        <v>61517.098453473154</v>
      </c>
      <c r="H139" s="528">
        <f t="shared" ref="H139:H170" si="125">E139*$B$12+I139*$E$80-G139</f>
        <v>19639.470278913621</v>
      </c>
      <c r="I139" s="530">
        <f t="shared" si="99"/>
        <v>53709.279804327962</v>
      </c>
      <c r="J139" s="417">
        <f t="shared" si="100"/>
        <v>7.3782491286642105E-2</v>
      </c>
      <c r="K139" s="1512">
        <f t="shared" ref="K139:K170" si="126">(I139)*J139-(I139)*$J$137</f>
        <v>657.11975564323666</v>
      </c>
      <c r="L139" s="1512">
        <f t="shared" si="101"/>
        <v>0</v>
      </c>
      <c r="M139" s="1509">
        <f t="shared" ref="M139:M170" si="127">L139+K139</f>
        <v>657.11975564323666</v>
      </c>
      <c r="N139" s="1454">
        <f>($N$142-$N$137)/($A$102-$A$97)+N138</f>
        <v>0.1</v>
      </c>
      <c r="O139" s="1511">
        <f t="shared" si="102"/>
        <v>150.38340000000005</v>
      </c>
      <c r="P139" s="1692">
        <f>O139+M139</f>
        <v>807.50315564323671</v>
      </c>
      <c r="Q139" s="1364">
        <f t="shared" si="103"/>
        <v>80349.065576743538</v>
      </c>
      <c r="R139" s="1364">
        <f t="shared" ref="R139:R170" si="128">Q139-G139</f>
        <v>18831.967123270384</v>
      </c>
      <c r="S139" s="1091">
        <f t="shared" si="104"/>
        <v>0.61537167195987674</v>
      </c>
      <c r="T139" s="135" t="str">
        <f t="shared" si="105"/>
        <v>Yes</v>
      </c>
      <c r="U139" s="1091">
        <f t="shared" si="106"/>
        <v>0.61537167195987674</v>
      </c>
      <c r="V139" s="1494">
        <f>AC139</f>
        <v>88471.931122796072</v>
      </c>
      <c r="W139" s="1491">
        <f t="shared" si="98"/>
        <v>0.17550123929407857</v>
      </c>
      <c r="X139" s="527">
        <f t="shared" si="107"/>
        <v>61517.098453473154</v>
      </c>
      <c r="Y139" s="1509">
        <f t="shared" si="108"/>
        <v>8254.5618926398001</v>
      </c>
      <c r="Z139" s="528">
        <f t="shared" si="109"/>
        <v>2572.2972467623063</v>
      </c>
      <c r="AA139" s="528">
        <f t="shared" si="110"/>
        <v>0</v>
      </c>
      <c r="AB139" s="528">
        <f t="shared" si="111"/>
        <v>16127.973529920817</v>
      </c>
      <c r="AC139" s="528">
        <f t="shared" si="112"/>
        <v>88471.931122796072</v>
      </c>
      <c r="AD139" s="1487">
        <f t="shared" si="113"/>
        <v>0</v>
      </c>
      <c r="AE139" s="417">
        <f t="shared" si="114"/>
        <v>0.69532898935018705</v>
      </c>
      <c r="AF139" s="417">
        <f t="shared" si="115"/>
        <v>9.3301477518137874E-2</v>
      </c>
      <c r="AG139" s="417">
        <f t="shared" si="116"/>
        <v>2.9074727024914197E-2</v>
      </c>
      <c r="AH139" s="417">
        <f t="shared" ref="AH139:AH170" si="129">AA139/AC139</f>
        <v>0</v>
      </c>
      <c r="AI139" s="417">
        <f t="shared" si="117"/>
        <v>0.18229480610676091</v>
      </c>
      <c r="AJ139" s="525">
        <f t="shared" si="118"/>
        <v>1</v>
      </c>
      <c r="AK139" s="1497">
        <f t="shared" si="119"/>
        <v>49746.475335153307</v>
      </c>
      <c r="AL139" s="1498">
        <f t="shared" si="120"/>
        <v>11001.949512697336</v>
      </c>
      <c r="AM139" s="1498">
        <f t="shared" si="121"/>
        <v>768.67360562249996</v>
      </c>
      <c r="AN139" s="1498">
        <f t="shared" si="122"/>
        <v>61517.09845347314</v>
      </c>
      <c r="AO139" s="1563">
        <f t="shared" si="123"/>
        <v>0</v>
      </c>
    </row>
    <row r="140" spans="1:91">
      <c r="A140" s="127">
        <f>'Input data'!A120</f>
        <v>2020</v>
      </c>
      <c r="B140" s="662">
        <f>'Input data'!B120</f>
        <v>59.308690000000006</v>
      </c>
      <c r="C140" s="236">
        <f>'Input data'!C120</f>
        <v>4168.5687090306074</v>
      </c>
      <c r="D140" s="236">
        <f>'Input data'!D120</f>
        <v>50685422.165534832</v>
      </c>
      <c r="E140" s="527">
        <f>'Input data'!J120*C140</f>
        <v>50152.240336853138</v>
      </c>
      <c r="F140" s="528">
        <f>'Input data'!L120</f>
        <v>100837.66250238798</v>
      </c>
      <c r="G140" s="528">
        <f t="shared" si="124"/>
        <v>58322.977791126912</v>
      </c>
      <c r="H140" s="528">
        <f t="shared" si="125"/>
        <v>18020.583836549667</v>
      </c>
      <c r="I140" s="530">
        <f t="shared" si="99"/>
        <v>50685.42216553483</v>
      </c>
      <c r="J140" s="417">
        <f t="shared" si="100"/>
        <v>8.0783733850016193E-2</v>
      </c>
      <c r="K140" s="1512">
        <f t="shared" si="126"/>
        <v>974.98454026629906</v>
      </c>
      <c r="L140" s="1512">
        <f t="shared" si="101"/>
        <v>0</v>
      </c>
      <c r="M140" s="1509">
        <f t="shared" si="127"/>
        <v>974.98454026629906</v>
      </c>
      <c r="N140" s="1454">
        <f>($N$142-$N$137)/($A$102-$A$97)+N139</f>
        <v>0.15000000000000002</v>
      </c>
      <c r="O140" s="1511">
        <f t="shared" si="102"/>
        <v>225.57510000000011</v>
      </c>
      <c r="P140" s="1692">
        <f t="shared" ref="P140:P170" si="130">O140+M140</f>
        <v>1200.5596402662991</v>
      </c>
      <c r="Q140" s="1364">
        <f t="shared" si="103"/>
        <v>75143.001987410287</v>
      </c>
      <c r="R140" s="1364">
        <f t="shared" si="128"/>
        <v>16820.024196283375</v>
      </c>
      <c r="S140" s="1091">
        <f t="shared" si="104"/>
        <v>0.58909859937178344</v>
      </c>
      <c r="T140" s="135" t="str">
        <f t="shared" si="105"/>
        <v>Yes</v>
      </c>
      <c r="U140" s="1091">
        <f t="shared" si="106"/>
        <v>0.58909859937178344</v>
      </c>
      <c r="V140" s="1494">
        <f t="shared" si="97"/>
        <v>84017.638306104607</v>
      </c>
      <c r="W140" s="1491">
        <f t="shared" si="98"/>
        <v>0.16680299581403968</v>
      </c>
      <c r="X140" s="527">
        <f t="shared" si="107"/>
        <v>58322.977791126905</v>
      </c>
      <c r="Y140" s="1509">
        <f t="shared" si="108"/>
        <v>8110.6558377935944</v>
      </c>
      <c r="Z140" s="528">
        <f t="shared" si="109"/>
        <v>2491.9296118810189</v>
      </c>
      <c r="AA140" s="528">
        <f t="shared" si="110"/>
        <v>0</v>
      </c>
      <c r="AB140" s="528">
        <f t="shared" si="111"/>
        <v>15092.075065303088</v>
      </c>
      <c r="AC140" s="528">
        <f t="shared" si="112"/>
        <v>84017.638306104607</v>
      </c>
      <c r="AD140" s="1487">
        <f t="shared" si="113"/>
        <v>0</v>
      </c>
      <c r="AE140" s="417">
        <f t="shared" si="114"/>
        <v>0.69417540134413935</v>
      </c>
      <c r="AF140" s="417">
        <f t="shared" si="115"/>
        <v>9.653515620426914E-2</v>
      </c>
      <c r="AG140" s="417">
        <f t="shared" si="116"/>
        <v>2.9659600794800713E-2</v>
      </c>
      <c r="AH140" s="417">
        <f t="shared" si="129"/>
        <v>0</v>
      </c>
      <c r="AI140" s="417">
        <f t="shared" si="117"/>
        <v>0.17962984165679075</v>
      </c>
      <c r="AJ140" s="525">
        <f t="shared" si="118"/>
        <v>0.99999999999999989</v>
      </c>
      <c r="AK140" s="1497">
        <f t="shared" si="119"/>
        <v>46590.864511238557</v>
      </c>
      <c r="AL140" s="1498">
        <f t="shared" si="120"/>
        <v>10998.542995779353</v>
      </c>
      <c r="AM140" s="1498">
        <f t="shared" si="121"/>
        <v>733.57028410899761</v>
      </c>
      <c r="AN140" s="1498">
        <f t="shared" si="122"/>
        <v>58322.977791126905</v>
      </c>
      <c r="AO140" s="1563">
        <f t="shared" si="123"/>
        <v>0</v>
      </c>
    </row>
    <row r="141" spans="1:91">
      <c r="A141" s="127">
        <f>'Input data'!A121</f>
        <v>2021</v>
      </c>
      <c r="B141" s="662">
        <f>'Input data'!B121</f>
        <v>59.991580449204264</v>
      </c>
      <c r="C141" s="236">
        <f>'Input data'!C121</f>
        <v>4297.0962474291</v>
      </c>
      <c r="D141" s="1550">
        <f>'Input data'!D121</f>
        <v>50618072.007836998</v>
      </c>
      <c r="E141" s="1508">
        <f>'Input data'!J121*C141</f>
        <v>51698.561015627391</v>
      </c>
      <c r="F141" s="1509">
        <f>'Input data'!L121</f>
        <v>102316.63302346438</v>
      </c>
      <c r="G141" s="1509">
        <f t="shared" si="124"/>
        <v>55294.7038130703</v>
      </c>
      <c r="H141" s="1509">
        <f t="shared" si="125"/>
        <v>21872.942721689818</v>
      </c>
      <c r="I141" s="1511">
        <f t="shared" si="99"/>
        <v>50618.072007837</v>
      </c>
      <c r="J141" s="417">
        <f t="shared" si="100"/>
        <v>8.8449326404511766E-2</v>
      </c>
      <c r="K141" s="1512">
        <f t="shared" si="126"/>
        <v>1361.706508858606</v>
      </c>
      <c r="L141" s="1512">
        <f t="shared" si="101"/>
        <v>0</v>
      </c>
      <c r="M141" s="1509">
        <f t="shared" si="127"/>
        <v>1361.706508858606</v>
      </c>
      <c r="N141" s="1454">
        <f>($N$142-$N$137)/($A$102-$A$97)+N140</f>
        <v>0.2</v>
      </c>
      <c r="O141" s="1511">
        <f t="shared" si="102"/>
        <v>300.7668000000001</v>
      </c>
      <c r="P141" s="1692">
        <f t="shared" si="130"/>
        <v>1662.4733088586061</v>
      </c>
      <c r="Q141" s="1364">
        <f t="shared" si="103"/>
        <v>75505.173225901512</v>
      </c>
      <c r="R141" s="1364">
        <f t="shared" si="128"/>
        <v>20210.469412831211</v>
      </c>
      <c r="S141" s="1091">
        <f t="shared" si="104"/>
        <v>0.68826819448994292</v>
      </c>
      <c r="T141" s="135" t="str">
        <f t="shared" si="105"/>
        <v>Yes</v>
      </c>
      <c r="U141" s="1091">
        <f t="shared" si="106"/>
        <v>0.68826819448994292</v>
      </c>
      <c r="V141" s="1494">
        <f t="shared" si="97"/>
        <v>82106.163610633186</v>
      </c>
      <c r="W141" s="1491">
        <f t="shared" si="98"/>
        <v>0.19752867950801611</v>
      </c>
      <c r="X141" s="527">
        <f t="shared" si="107"/>
        <v>55294.7038130703</v>
      </c>
      <c r="Y141" s="1509">
        <f t="shared" si="108"/>
        <v>8617.0590421503857</v>
      </c>
      <c r="Z141" s="528">
        <f t="shared" si="109"/>
        <v>2636.9987654826227</v>
      </c>
      <c r="AA141" s="528">
        <f t="shared" si="110"/>
        <v>0</v>
      </c>
      <c r="AB141" s="528">
        <f t="shared" si="111"/>
        <v>15557.401989929876</v>
      </c>
      <c r="AC141" s="528">
        <f t="shared" si="112"/>
        <v>82106.163610633186</v>
      </c>
      <c r="AD141" s="1487">
        <f t="shared" si="113"/>
        <v>0</v>
      </c>
      <c r="AE141" s="417">
        <f t="shared" si="114"/>
        <v>0.67345375038213751</v>
      </c>
      <c r="AF141" s="417">
        <f t="shared" si="115"/>
        <v>0.10495020913429245</v>
      </c>
      <c r="AG141" s="417">
        <f t="shared" si="116"/>
        <v>3.211694042834462E-2</v>
      </c>
      <c r="AH141" s="417">
        <f t="shared" si="129"/>
        <v>0</v>
      </c>
      <c r="AI141" s="417">
        <f t="shared" si="117"/>
        <v>0.18947910005522545</v>
      </c>
      <c r="AJ141" s="525">
        <f t="shared" si="118"/>
        <v>1</v>
      </c>
      <c r="AK141" s="1497">
        <f t="shared" si="119"/>
        <v>46140.937634848742</v>
      </c>
      <c r="AL141" s="1498">
        <f t="shared" si="120"/>
        <v>8601.352915072046</v>
      </c>
      <c r="AM141" s="1498">
        <f t="shared" si="121"/>
        <v>552.41326314950902</v>
      </c>
      <c r="AN141" s="1498">
        <f t="shared" si="122"/>
        <v>55294.703813070293</v>
      </c>
      <c r="AO141" s="1563">
        <f t="shared" si="123"/>
        <v>0</v>
      </c>
    </row>
    <row r="142" spans="1:91">
      <c r="A142" s="873">
        <f>'Input data'!A122</f>
        <v>2022</v>
      </c>
      <c r="B142" s="1551">
        <f>'Input data'!B122</f>
        <v>60.682333816399378</v>
      </c>
      <c r="C142" s="1550">
        <f>'Input data'!C122</f>
        <v>4398.6096135141943</v>
      </c>
      <c r="D142" s="1550">
        <f>'Input data'!D122</f>
        <v>50359792.847133137</v>
      </c>
      <c r="E142" s="1508">
        <f>'Input data'!J122*C142</f>
        <v>52919.872954728555</v>
      </c>
      <c r="F142" s="1509">
        <f>'Input data'!L122</f>
        <v>103279.6658018617</v>
      </c>
      <c r="G142" s="1509">
        <f t="shared" si="124"/>
        <v>52423.665347216396</v>
      </c>
      <c r="H142" s="1509">
        <f t="shared" si="125"/>
        <v>25202.396011186524</v>
      </c>
      <c r="I142" s="1511">
        <f t="shared" si="99"/>
        <v>50359.79284713314</v>
      </c>
      <c r="J142" s="417">
        <f t="shared" si="100"/>
        <v>9.6842309318564565E-2</v>
      </c>
      <c r="K142" s="1512">
        <f t="shared" si="126"/>
        <v>1777.4272702588346</v>
      </c>
      <c r="L142" s="1512">
        <f t="shared" si="101"/>
        <v>0</v>
      </c>
      <c r="M142" s="1509">
        <f t="shared" si="127"/>
        <v>1777.4272702588346</v>
      </c>
      <c r="N142" s="1454">
        <f>$C$26</f>
        <v>0.25</v>
      </c>
      <c r="O142" s="1511">
        <f t="shared" si="102"/>
        <v>375.95850000000013</v>
      </c>
      <c r="P142" s="1692">
        <f t="shared" si="130"/>
        <v>2153.3857702588348</v>
      </c>
      <c r="Q142" s="1364">
        <f t="shared" si="103"/>
        <v>75472.675588144091</v>
      </c>
      <c r="R142" s="1364">
        <f t="shared" si="128"/>
        <v>23049.010240927695</v>
      </c>
      <c r="S142" s="1091">
        <f t="shared" si="104"/>
        <v>0.76856059193775039</v>
      </c>
      <c r="T142" s="135" t="str">
        <f t="shared" si="105"/>
        <v>Yes</v>
      </c>
      <c r="U142" s="1091">
        <f t="shared" si="106"/>
        <v>0.76856059193775039</v>
      </c>
      <c r="V142" s="1494">
        <f t="shared" si="97"/>
        <v>80230.655560934014</v>
      </c>
      <c r="W142" s="1491">
        <f t="shared" si="98"/>
        <v>0.22317084454113534</v>
      </c>
      <c r="X142" s="527">
        <f t="shared" si="107"/>
        <v>52423.665347216396</v>
      </c>
      <c r="Y142" s="1509">
        <f t="shared" si="108"/>
        <v>9114.6836951990845</v>
      </c>
      <c r="Z142" s="528">
        <f t="shared" si="109"/>
        <v>2767.3809376331187</v>
      </c>
      <c r="AA142" s="528">
        <f t="shared" si="110"/>
        <v>0</v>
      </c>
      <c r="AB142" s="528">
        <f t="shared" si="111"/>
        <v>15924.925580885418</v>
      </c>
      <c r="AC142" s="528">
        <f t="shared" si="112"/>
        <v>80230.655560934014</v>
      </c>
      <c r="AD142" s="1487">
        <f t="shared" si="113"/>
        <v>0</v>
      </c>
      <c r="AE142" s="417">
        <f t="shared" si="114"/>
        <v>0.65341190322695775</v>
      </c>
      <c r="AF142" s="417">
        <f t="shared" si="115"/>
        <v>0.1136059980000614</v>
      </c>
      <c r="AG142" s="417">
        <f t="shared" si="116"/>
        <v>3.4492812233490142E-2</v>
      </c>
      <c r="AH142" s="417">
        <f t="shared" si="129"/>
        <v>0</v>
      </c>
      <c r="AI142" s="417">
        <f t="shared" si="117"/>
        <v>0.19848928653949074</v>
      </c>
      <c r="AJ142" s="525">
        <f t="shared" si="118"/>
        <v>1</v>
      </c>
      <c r="AK142" s="1497">
        <f t="shared" si="119"/>
        <v>45482.834211012239</v>
      </c>
      <c r="AL142" s="1498">
        <f t="shared" si="120"/>
        <v>6536.771440039257</v>
      </c>
      <c r="AM142" s="1498">
        <f t="shared" si="121"/>
        <v>404.05969616489688</v>
      </c>
      <c r="AN142" s="1498">
        <f t="shared" si="122"/>
        <v>52423.665347216396</v>
      </c>
      <c r="AO142" s="1563">
        <f t="shared" si="123"/>
        <v>0</v>
      </c>
    </row>
    <row r="143" spans="1:91">
      <c r="A143" s="873">
        <f>'Input data'!A123</f>
        <v>2023</v>
      </c>
      <c r="B143" s="1551">
        <f>'Input data'!B123</f>
        <v>61.381040636574369</v>
      </c>
      <c r="C143" s="1550">
        <f>'Input data'!C123</f>
        <v>4491.3837914672167</v>
      </c>
      <c r="D143" s="1550">
        <f>'Input data'!D123</f>
        <v>49695564.714711666</v>
      </c>
      <c r="E143" s="1508">
        <f>'Input data'!J123*C143</f>
        <v>54036.043322671459</v>
      </c>
      <c r="F143" s="1509">
        <f>'Input data'!L123</f>
        <v>103731.60803738312</v>
      </c>
      <c r="G143" s="1509">
        <f t="shared" si="124"/>
        <v>49701.698334937471</v>
      </c>
      <c r="H143" s="1509">
        <f t="shared" si="125"/>
        <v>27941.483134473681</v>
      </c>
      <c r="I143" s="1511">
        <f t="shared" si="99"/>
        <v>49695.564714711669</v>
      </c>
      <c r="J143" s="417">
        <f t="shared" si="100"/>
        <v>0.10603170487993842</v>
      </c>
      <c r="K143" s="1512">
        <f t="shared" si="126"/>
        <v>2210.6558252719519</v>
      </c>
      <c r="L143" s="1512">
        <f t="shared" si="101"/>
        <v>0</v>
      </c>
      <c r="M143" s="1509">
        <f t="shared" si="127"/>
        <v>2210.6558252719519</v>
      </c>
      <c r="N143" s="1454">
        <f>($N$147-$N$142)/($A$107-$A$102)+N142</f>
        <v>0.3</v>
      </c>
      <c r="O143" s="1511">
        <f t="shared" si="102"/>
        <v>451.15020000000015</v>
      </c>
      <c r="P143" s="1692">
        <f t="shared" si="130"/>
        <v>2661.806025271952</v>
      </c>
      <c r="Q143" s="1364">
        <f t="shared" si="103"/>
        <v>74981.375444139194</v>
      </c>
      <c r="R143" s="1364">
        <f t="shared" si="128"/>
        <v>25279.677109201722</v>
      </c>
      <c r="S143" s="1091">
        <f t="shared" si="104"/>
        <v>0.82734678406619222</v>
      </c>
      <c r="T143" s="135" t="str">
        <f t="shared" si="105"/>
        <v>Yes</v>
      </c>
      <c r="U143" s="1091">
        <f t="shared" si="106"/>
        <v>0.82734678406619222</v>
      </c>
      <c r="V143" s="1494">
        <f t="shared" si="97"/>
        <v>78451.93092818142</v>
      </c>
      <c r="W143" s="1491">
        <f t="shared" si="98"/>
        <v>0.24370274005673687</v>
      </c>
      <c r="X143" s="527">
        <f t="shared" si="107"/>
        <v>49701.698334937471</v>
      </c>
      <c r="Y143" s="1509">
        <f t="shared" si="108"/>
        <v>9596.4113590845809</v>
      </c>
      <c r="Z143" s="528">
        <f t="shared" si="109"/>
        <v>2893.0118150741405</v>
      </c>
      <c r="AA143" s="528">
        <f t="shared" si="110"/>
        <v>0</v>
      </c>
      <c r="AB143" s="528">
        <f t="shared" si="111"/>
        <v>16260.809419085223</v>
      </c>
      <c r="AC143" s="528">
        <f t="shared" si="112"/>
        <v>78451.93092818142</v>
      </c>
      <c r="AD143" s="1487">
        <f t="shared" si="113"/>
        <v>0</v>
      </c>
      <c r="AE143" s="417">
        <f t="shared" si="114"/>
        <v>0.63353059315310845</v>
      </c>
      <c r="AF143" s="417">
        <f t="shared" si="115"/>
        <v>0.12232218181945817</v>
      </c>
      <c r="AG143" s="417">
        <f t="shared" si="116"/>
        <v>3.6876234668112115E-2</v>
      </c>
      <c r="AH143" s="417">
        <f t="shared" si="129"/>
        <v>0</v>
      </c>
      <c r="AI143" s="417">
        <f t="shared" si="117"/>
        <v>0.20727099035932117</v>
      </c>
      <c r="AJ143" s="525">
        <f t="shared" si="118"/>
        <v>0.99999999999999989</v>
      </c>
      <c r="AK143" s="1497">
        <f t="shared" si="119"/>
        <v>44426.259263039479</v>
      </c>
      <c r="AL143" s="1498">
        <f t="shared" si="120"/>
        <v>4979.2669519781512</v>
      </c>
      <c r="AM143" s="1498">
        <f t="shared" si="121"/>
        <v>296.1721199198405</v>
      </c>
      <c r="AN143" s="1498">
        <f t="shared" si="122"/>
        <v>49701.698334937471</v>
      </c>
      <c r="AO143" s="1563">
        <f t="shared" si="123"/>
        <v>0</v>
      </c>
    </row>
    <row r="144" spans="1:91">
      <c r="A144" s="873">
        <f>'Input data'!A124</f>
        <v>2024</v>
      </c>
      <c r="B144" s="1551">
        <f>'Input data'!B124</f>
        <v>62.087792487153699</v>
      </c>
      <c r="C144" s="1550">
        <f>'Input data'!C124</f>
        <v>4591.0468432418256</v>
      </c>
      <c r="D144" s="1550">
        <f>'Input data'!D124</f>
        <v>49925010.483280979</v>
      </c>
      <c r="E144" s="1508">
        <f>'Input data'!J124*C144</f>
        <v>55235.094045879225</v>
      </c>
      <c r="F144" s="1509">
        <f>'Input data'!L124</f>
        <v>105160.10452916021</v>
      </c>
      <c r="G144" s="1509">
        <f t="shared" si="124"/>
        <v>47121.062615822855</v>
      </c>
      <c r="H144" s="1509">
        <f t="shared" si="125"/>
        <v>31425.466595877311</v>
      </c>
      <c r="I144" s="1511">
        <f t="shared" si="99"/>
        <v>49925.010483280981</v>
      </c>
      <c r="J144" s="417">
        <f t="shared" si="100"/>
        <v>0.11609308492183117</v>
      </c>
      <c r="K144" s="1512">
        <f t="shared" si="126"/>
        <v>2723.1769871729425</v>
      </c>
      <c r="L144" s="1512">
        <f t="shared" si="101"/>
        <v>0</v>
      </c>
      <c r="M144" s="1509">
        <f t="shared" si="127"/>
        <v>2723.1769871729425</v>
      </c>
      <c r="N144" s="1454">
        <f>($N$147-$N$142)/($A$107-$A$102)+N143</f>
        <v>0.35</v>
      </c>
      <c r="O144" s="1511">
        <f t="shared" si="102"/>
        <v>526.34190000000012</v>
      </c>
      <c r="P144" s="1692">
        <f t="shared" si="130"/>
        <v>3249.5188871729424</v>
      </c>
      <c r="Q144" s="1364">
        <f t="shared" si="103"/>
        <v>75297.010324527218</v>
      </c>
      <c r="R144" s="1364">
        <f t="shared" si="128"/>
        <v>28175.947708704363</v>
      </c>
      <c r="S144" s="1091">
        <f t="shared" si="104"/>
        <v>0.904003927903964</v>
      </c>
      <c r="T144" s="135" t="str">
        <f t="shared" si="105"/>
        <v>Yes</v>
      </c>
      <c r="U144" s="1091">
        <f t="shared" si="106"/>
        <v>0.904003927903964</v>
      </c>
      <c r="V144" s="1494">
        <f t="shared" si="97"/>
        <v>76984.156820455843</v>
      </c>
      <c r="W144" s="1491">
        <f t="shared" si="98"/>
        <v>0.26793381230323288</v>
      </c>
      <c r="X144" s="527">
        <f t="shared" si="107"/>
        <v>47121.062615822855</v>
      </c>
      <c r="Y144" s="1509">
        <f t="shared" si="108"/>
        <v>10219.072142297562</v>
      </c>
      <c r="Z144" s="528">
        <f t="shared" si="109"/>
        <v>3022.3880140768551</v>
      </c>
      <c r="AA144" s="528">
        <f t="shared" si="110"/>
        <v>0</v>
      </c>
      <c r="AB144" s="528">
        <f t="shared" si="111"/>
        <v>16621.634048258569</v>
      </c>
      <c r="AC144" s="528">
        <f t="shared" si="112"/>
        <v>76984.156820455843</v>
      </c>
      <c r="AD144" s="1487">
        <f t="shared" si="113"/>
        <v>0</v>
      </c>
      <c r="AE144" s="417">
        <f t="shared" si="114"/>
        <v>0.61208779263140656</v>
      </c>
      <c r="AF144" s="417">
        <f t="shared" si="115"/>
        <v>0.13274253514435067</v>
      </c>
      <c r="AG144" s="417">
        <f t="shared" si="116"/>
        <v>3.9259870327939497E-2</v>
      </c>
      <c r="AH144" s="417">
        <f t="shared" si="129"/>
        <v>0</v>
      </c>
      <c r="AI144" s="417">
        <f t="shared" si="117"/>
        <v>0.21590980189630332</v>
      </c>
      <c r="AJ144" s="525">
        <f t="shared" si="118"/>
        <v>1</v>
      </c>
      <c r="AK144" s="1497">
        <f t="shared" si="119"/>
        <v>44129.062001522136</v>
      </c>
      <c r="AL144" s="1498">
        <f t="shared" si="120"/>
        <v>2829.9304244053719</v>
      </c>
      <c r="AM144" s="1498">
        <f t="shared" si="121"/>
        <v>162.07018989534944</v>
      </c>
      <c r="AN144" s="1498">
        <f t="shared" si="122"/>
        <v>47121.062615822855</v>
      </c>
      <c r="AO144" s="1563">
        <f t="shared" si="123"/>
        <v>0</v>
      </c>
    </row>
    <row r="145" spans="1:41">
      <c r="A145" s="873">
        <f>'Input data'!A125</f>
        <v>2025</v>
      </c>
      <c r="B145" s="1551">
        <f>'Input data'!B125</f>
        <v>62.802682000000026</v>
      </c>
      <c r="C145" s="1550">
        <f>'Input data'!C125</f>
        <v>4678.7390647078637</v>
      </c>
      <c r="D145" s="1550">
        <f>'Input data'!D125</f>
        <v>50358140.956147172</v>
      </c>
      <c r="E145" s="1508">
        <f>'Input data'!J125*C145</f>
        <v>56290.12316345374</v>
      </c>
      <c r="F145" s="1509">
        <f>'Input data'!L125</f>
        <v>106648.26411960091</v>
      </c>
      <c r="G145" s="1509">
        <f t="shared" si="124"/>
        <v>44674.419917829786</v>
      </c>
      <c r="H145" s="1509">
        <f t="shared" si="125"/>
        <v>34883.964784811731</v>
      </c>
      <c r="I145" s="1511">
        <f t="shared" si="99"/>
        <v>50358.140956147174</v>
      </c>
      <c r="J145" s="417">
        <f t="shared" si="100"/>
        <v>0.12710919231119061</v>
      </c>
      <c r="K145" s="1512">
        <f t="shared" si="126"/>
        <v>3301.5529275214785</v>
      </c>
      <c r="L145" s="1512">
        <f t="shared" si="101"/>
        <v>0</v>
      </c>
      <c r="M145" s="1509">
        <f t="shared" si="127"/>
        <v>3301.5529275214785</v>
      </c>
      <c r="N145" s="1454">
        <f>($N$147-$N$142)/($A$107-$A$102)+N144</f>
        <v>0.39999999999999997</v>
      </c>
      <c r="O145" s="1511">
        <f t="shared" si="102"/>
        <v>601.53360000000009</v>
      </c>
      <c r="P145" s="1692">
        <f t="shared" si="130"/>
        <v>3903.0865275214787</v>
      </c>
      <c r="Q145" s="1364">
        <f t="shared" si="103"/>
        <v>75655.298175120042</v>
      </c>
      <c r="R145" s="1364">
        <f t="shared" si="128"/>
        <v>30980.878257290256</v>
      </c>
      <c r="S145" s="1091">
        <f t="shared" si="104"/>
        <v>0.97737212377501625</v>
      </c>
      <c r="T145" s="135" t="str">
        <f t="shared" si="105"/>
        <v>Yes</v>
      </c>
      <c r="U145" s="1091">
        <f t="shared" si="106"/>
        <v>0.97737212377501625</v>
      </c>
      <c r="V145" s="1494">
        <f t="shared" si="97"/>
        <v>75667.385862310679</v>
      </c>
      <c r="W145" s="1491">
        <f t="shared" si="98"/>
        <v>0.29049585113309173</v>
      </c>
      <c r="X145" s="527">
        <f t="shared" si="107"/>
        <v>44674.419917829786</v>
      </c>
      <c r="Y145" s="1509">
        <f t="shared" si="108"/>
        <v>10908.591054421357</v>
      </c>
      <c r="Z145" s="528">
        <f t="shared" si="109"/>
        <v>3145.2559491706606</v>
      </c>
      <c r="AA145" s="528">
        <f t="shared" si="110"/>
        <v>0</v>
      </c>
      <c r="AB145" s="528">
        <f t="shared" si="111"/>
        <v>16939.118940888875</v>
      </c>
      <c r="AC145" s="528">
        <f t="shared" si="112"/>
        <v>75667.385862310679</v>
      </c>
      <c r="AD145" s="1487">
        <f t="shared" si="113"/>
        <v>0</v>
      </c>
      <c r="AE145" s="417">
        <f t="shared" si="114"/>
        <v>0.59040522424181907</v>
      </c>
      <c r="AF145" s="417">
        <f t="shared" si="115"/>
        <v>0.14416503134218675</v>
      </c>
      <c r="AG145" s="417">
        <f t="shared" si="116"/>
        <v>4.1566864155899004E-2</v>
      </c>
      <c r="AH145" s="417">
        <f t="shared" si="129"/>
        <v>0</v>
      </c>
      <c r="AI145" s="417">
        <f t="shared" si="117"/>
        <v>0.22386288026009518</v>
      </c>
      <c r="AJ145" s="525">
        <f t="shared" si="118"/>
        <v>1</v>
      </c>
      <c r="AK145" s="1497">
        <f t="shared" si="119"/>
        <v>43957.158332918218</v>
      </c>
      <c r="AL145" s="1498">
        <f t="shared" si="120"/>
        <v>679.80317812839712</v>
      </c>
      <c r="AM145" s="1498">
        <f t="shared" si="121"/>
        <v>37.458406783171085</v>
      </c>
      <c r="AN145" s="1498">
        <f t="shared" si="122"/>
        <v>44674.419917829786</v>
      </c>
      <c r="AO145" s="1563">
        <f t="shared" si="123"/>
        <v>0</v>
      </c>
    </row>
    <row r="146" spans="1:41">
      <c r="A146" s="873">
        <f>'Input data'!A126</f>
        <v>2026</v>
      </c>
      <c r="B146" s="1551">
        <f>'Input data'!B126</f>
        <v>63.421065342005143</v>
      </c>
      <c r="C146" s="1550">
        <f>'Input data'!C126</f>
        <v>4759.3318943865906</v>
      </c>
      <c r="D146" s="1550">
        <f>'Input data'!D126</f>
        <v>48568999.176537097</v>
      </c>
      <c r="E146" s="1508">
        <f>'Input data'!J126*C146</f>
        <v>57259.739174512491</v>
      </c>
      <c r="F146" s="1509">
        <f>'Input data'!L126</f>
        <v>105828.73835104959</v>
      </c>
      <c r="G146" s="1509">
        <f t="shared" si="124"/>
        <v>42354.812990240433</v>
      </c>
      <c r="H146" s="1509">
        <f t="shared" si="125"/>
        <v>36080.92013391103</v>
      </c>
      <c r="I146" s="1511">
        <f t="shared" si="99"/>
        <v>48568.999176537094</v>
      </c>
      <c r="J146" s="417">
        <f t="shared" si="100"/>
        <v>0.13917062141024203</v>
      </c>
      <c r="K146" s="1512">
        <f t="shared" si="126"/>
        <v>3770.0657315258559</v>
      </c>
      <c r="L146" s="1512">
        <f t="shared" si="101"/>
        <v>0</v>
      </c>
      <c r="M146" s="1509">
        <f t="shared" si="127"/>
        <v>3770.0657315258559</v>
      </c>
      <c r="N146" s="1454">
        <f>($N$147-$N$142)/($A$107-$A$102)+N145</f>
        <v>0.44999999999999996</v>
      </c>
      <c r="O146" s="1511">
        <f t="shared" si="102"/>
        <v>676.72530000000006</v>
      </c>
      <c r="P146" s="1692">
        <f t="shared" si="130"/>
        <v>4446.7910315258559</v>
      </c>
      <c r="Q146" s="1364">
        <f t="shared" si="103"/>
        <v>73988.942092625599</v>
      </c>
      <c r="R146" s="1364">
        <f t="shared" si="128"/>
        <v>31634.129102385166</v>
      </c>
      <c r="S146" s="1091">
        <f t="shared" si="104"/>
        <v>0.98305770295022576</v>
      </c>
      <c r="T146" s="135" t="str">
        <f t="shared" si="105"/>
        <v>Yes</v>
      </c>
      <c r="U146" s="1091">
        <f t="shared" si="106"/>
        <v>0.98305770295022576</v>
      </c>
      <c r="V146" s="1494">
        <f t="shared" si="97"/>
        <v>74194.609248664419</v>
      </c>
      <c r="W146" s="1491">
        <f t="shared" si="98"/>
        <v>0.29891813504806297</v>
      </c>
      <c r="X146" s="527">
        <f t="shared" si="107"/>
        <v>42354.812990240433</v>
      </c>
      <c r="Y146" s="1509">
        <f t="shared" si="108"/>
        <v>11344.631275713871</v>
      </c>
      <c r="Z146" s="528">
        <f t="shared" si="109"/>
        <v>3264.2641089478384</v>
      </c>
      <c r="AA146" s="528">
        <f t="shared" si="110"/>
        <v>0</v>
      </c>
      <c r="AB146" s="528">
        <f t="shared" si="111"/>
        <v>17230.900873762275</v>
      </c>
      <c r="AC146" s="528">
        <f t="shared" si="112"/>
        <v>74194.609248664419</v>
      </c>
      <c r="AD146" s="1487">
        <f t="shared" si="113"/>
        <v>0</v>
      </c>
      <c r="AE146" s="417">
        <f t="shared" si="114"/>
        <v>0.57086105606793613</v>
      </c>
      <c r="AF146" s="417">
        <f t="shared" si="115"/>
        <v>0.15290371349880902</v>
      </c>
      <c r="AG146" s="417">
        <f t="shared" si="116"/>
        <v>4.3995974128087999E-2</v>
      </c>
      <c r="AH146" s="417">
        <f t="shared" si="129"/>
        <v>0</v>
      </c>
      <c r="AI146" s="417">
        <f t="shared" si="117"/>
        <v>0.23223925630516681</v>
      </c>
      <c r="AJ146" s="525">
        <f t="shared" si="118"/>
        <v>1</v>
      </c>
      <c r="AK146" s="1497">
        <f t="shared" si="119"/>
        <v>41809.62137986489</v>
      </c>
      <c r="AL146" s="1498">
        <f t="shared" si="120"/>
        <v>517.76042802966469</v>
      </c>
      <c r="AM146" s="1498">
        <f t="shared" si="121"/>
        <v>27.431182345879979</v>
      </c>
      <c r="AN146" s="1498">
        <f t="shared" si="122"/>
        <v>42354.812990240433</v>
      </c>
      <c r="AO146" s="1563">
        <f t="shared" si="123"/>
        <v>0</v>
      </c>
    </row>
    <row r="147" spans="1:41">
      <c r="A147" s="873">
        <f>'Input data'!A127</f>
        <v>2027</v>
      </c>
      <c r="B147" s="1551">
        <f>'Input data'!B127</f>
        <v>64.045537563425796</v>
      </c>
      <c r="C147" s="1550">
        <f>'Input data'!C127</f>
        <v>4833.4252769493587</v>
      </c>
      <c r="D147" s="1550">
        <f>'Input data'!D127</f>
        <v>48190122.249078177</v>
      </c>
      <c r="E147" s="1508">
        <f>'Input data'!J127*C147</f>
        <v>58151.160040770083</v>
      </c>
      <c r="F147" s="1509">
        <f>'Input data'!L127</f>
        <v>106341.28228984826</v>
      </c>
      <c r="G147" s="1509">
        <f t="shared" si="124"/>
        <v>40155.6458200876</v>
      </c>
      <c r="H147" s="1509">
        <f t="shared" si="125"/>
        <v>38436.033034438857</v>
      </c>
      <c r="I147" s="1511">
        <f t="shared" si="99"/>
        <v>48190.12224907818</v>
      </c>
      <c r="J147" s="417">
        <f t="shared" si="100"/>
        <v>0.15237656310721223</v>
      </c>
      <c r="K147" s="1512">
        <f t="shared" si="126"/>
        <v>4377.0521569755692</v>
      </c>
      <c r="L147" s="1512">
        <f t="shared" si="101"/>
        <v>0</v>
      </c>
      <c r="M147" s="1509">
        <f t="shared" si="127"/>
        <v>4377.0521569755692</v>
      </c>
      <c r="N147" s="1454">
        <f>$C$27</f>
        <v>0.5</v>
      </c>
      <c r="O147" s="1511">
        <f t="shared" si="102"/>
        <v>751.91700000000026</v>
      </c>
      <c r="P147" s="1692">
        <f t="shared" si="130"/>
        <v>5128.9691569755696</v>
      </c>
      <c r="Q147" s="1364">
        <f t="shared" si="103"/>
        <v>73462.70969755089</v>
      </c>
      <c r="R147" s="1364">
        <f t="shared" si="128"/>
        <v>33307.06387746329</v>
      </c>
      <c r="S147" s="1091">
        <f t="shared" si="104"/>
        <v>1.0211993810552857</v>
      </c>
      <c r="T147" s="135" t="str">
        <f t="shared" si="105"/>
        <v>No</v>
      </c>
      <c r="U147" s="1091">
        <f t="shared" si="106"/>
        <v>1</v>
      </c>
      <c r="V147" s="1494">
        <f t="shared" si="97"/>
        <v>73725.649637344613</v>
      </c>
      <c r="W147" s="1491">
        <f t="shared" si="98"/>
        <v>0.30670715972377605</v>
      </c>
      <c r="X147" s="527">
        <f t="shared" si="107"/>
        <v>40847.077045047248</v>
      </c>
      <c r="Y147" s="1509">
        <f t="shared" si="108"/>
        <v>11999.682009074852</v>
      </c>
      <c r="Z147" s="528">
        <f t="shared" si="109"/>
        <v>3379.7386694672964</v>
      </c>
      <c r="AA147" s="528">
        <f t="shared" si="110"/>
        <v>0</v>
      </c>
      <c r="AB147" s="528">
        <f t="shared" si="111"/>
        <v>17499.151913755224</v>
      </c>
      <c r="AC147" s="528">
        <f t="shared" si="112"/>
        <v>73725.649637344613</v>
      </c>
      <c r="AD147" s="1487">
        <f t="shared" si="113"/>
        <v>691.43122495964781</v>
      </c>
      <c r="AE147" s="417">
        <f t="shared" si="114"/>
        <v>0.55404160215574116</v>
      </c>
      <c r="AF147" s="417">
        <f t="shared" si="115"/>
        <v>0.16276129227888952</v>
      </c>
      <c r="AG147" s="417">
        <f t="shared" si="116"/>
        <v>4.5842100898292264E-2</v>
      </c>
      <c r="AH147" s="417">
        <f t="shared" si="129"/>
        <v>0</v>
      </c>
      <c r="AI147" s="417">
        <f t="shared" si="117"/>
        <v>0.23735500466707712</v>
      </c>
      <c r="AJ147" s="525">
        <f t="shared" si="118"/>
        <v>1</v>
      </c>
      <c r="AK147" s="1497">
        <f t="shared" si="119"/>
        <v>40847.077045047248</v>
      </c>
      <c r="AL147" s="1498">
        <f t="shared" si="120"/>
        <v>0</v>
      </c>
      <c r="AM147" s="1498">
        <f t="shared" si="121"/>
        <v>0</v>
      </c>
      <c r="AN147" s="1498">
        <f t="shared" si="122"/>
        <v>40847.077045047248</v>
      </c>
      <c r="AO147" s="1563">
        <f t="shared" si="123"/>
        <v>0</v>
      </c>
    </row>
    <row r="148" spans="1:41">
      <c r="A148" s="873">
        <f>'Input data'!A128</f>
        <v>2028</v>
      </c>
      <c r="B148" s="1551">
        <f>'Input data'!B128</f>
        <v>64.676158618096451</v>
      </c>
      <c r="C148" s="1550">
        <f>'Input data'!C128</f>
        <v>4919.2292537742524</v>
      </c>
      <c r="D148" s="1550">
        <f>'Input data'!D128</f>
        <v>48438037.819118328</v>
      </c>
      <c r="E148" s="1508">
        <f>'Input data'!J128*C148</f>
        <v>59183.471600912402</v>
      </c>
      <c r="F148" s="1509">
        <f>'Input data'!L128</f>
        <v>107621.50942003072</v>
      </c>
      <c r="G148" s="1509">
        <f t="shared" si="124"/>
        <v>38070.664875792791</v>
      </c>
      <c r="H148" s="1509">
        <f t="shared" si="125"/>
        <v>41346.018629074344</v>
      </c>
      <c r="I148" s="1511">
        <f t="shared" si="99"/>
        <v>48438.037819118326</v>
      </c>
      <c r="J148" s="417">
        <f t="shared" si="100"/>
        <v>0.16683562054324133</v>
      </c>
      <c r="K148" s="1512">
        <f t="shared" si="126"/>
        <v>5099.9384076957322</v>
      </c>
      <c r="L148" s="1512">
        <f t="shared" si="101"/>
        <v>0</v>
      </c>
      <c r="M148" s="1509">
        <f t="shared" si="127"/>
        <v>5099.9384076957322</v>
      </c>
      <c r="N148" s="1454">
        <f>N147</f>
        <v>0.5</v>
      </c>
      <c r="O148" s="1511">
        <f t="shared" si="102"/>
        <v>751.91700000000026</v>
      </c>
      <c r="P148" s="1692">
        <f t="shared" si="130"/>
        <v>5851.8554076957325</v>
      </c>
      <c r="Q148" s="1364">
        <f t="shared" si="103"/>
        <v>73564.828097171398</v>
      </c>
      <c r="R148" s="1364">
        <f t="shared" si="128"/>
        <v>35494.163221378607</v>
      </c>
      <c r="S148" s="1091">
        <f t="shared" si="104"/>
        <v>1.0688443807790986</v>
      </c>
      <c r="T148" s="135" t="str">
        <f t="shared" si="105"/>
        <v>No</v>
      </c>
      <c r="U148" s="1091">
        <f t="shared" si="106"/>
        <v>1</v>
      </c>
      <c r="V148" s="1494">
        <f t="shared" si="97"/>
        <v>74413.529044528055</v>
      </c>
      <c r="W148" s="1491">
        <f t="shared" si="98"/>
        <v>0.30856267073802934</v>
      </c>
      <c r="X148" s="527">
        <f t="shared" si="107"/>
        <v>40356.847721668732</v>
      </c>
      <c r="Y148" s="1509">
        <f t="shared" si="108"/>
        <v>12820.492493375294</v>
      </c>
      <c r="Z148" s="528">
        <f t="shared" si="109"/>
        <v>3426.3883095687434</v>
      </c>
      <c r="AA148" s="528">
        <f t="shared" si="110"/>
        <v>0</v>
      </c>
      <c r="AB148" s="528">
        <f t="shared" si="111"/>
        <v>17809.800519915287</v>
      </c>
      <c r="AC148" s="528">
        <f t="shared" si="112"/>
        <v>74413.529044528055</v>
      </c>
      <c r="AD148" s="1487">
        <f t="shared" si="113"/>
        <v>2286.182845875941</v>
      </c>
      <c r="AE148" s="1504">
        <f t="shared" si="114"/>
        <v>0.54233213018992465</v>
      </c>
      <c r="AF148" s="1504">
        <f t="shared" si="115"/>
        <v>0.17228711845803851</v>
      </c>
      <c r="AG148" s="1504">
        <f t="shared" si="116"/>
        <v>4.6045233354252542E-2</v>
      </c>
      <c r="AH148" s="1504">
        <f t="shared" si="129"/>
        <v>0</v>
      </c>
      <c r="AI148" s="1504">
        <f t="shared" si="117"/>
        <v>0.23933551799778427</v>
      </c>
      <c r="AJ148" s="1541">
        <f t="shared" si="118"/>
        <v>1</v>
      </c>
      <c r="AK148" s="1555">
        <f t="shared" si="119"/>
        <v>40356.847721668732</v>
      </c>
      <c r="AL148" s="1498">
        <f t="shared" si="120"/>
        <v>0</v>
      </c>
      <c r="AM148" s="1498">
        <f t="shared" si="121"/>
        <v>0</v>
      </c>
      <c r="AN148" s="1498">
        <f t="shared" si="122"/>
        <v>40356.847721668732</v>
      </c>
      <c r="AO148" s="1563">
        <f t="shared" si="123"/>
        <v>0</v>
      </c>
    </row>
    <row r="149" spans="1:41">
      <c r="A149" s="873">
        <f>'Input data'!A129</f>
        <v>2029</v>
      </c>
      <c r="B149" s="1551">
        <f>'Input data'!B129</f>
        <v>65.31298905018393</v>
      </c>
      <c r="C149" s="1550">
        <f>'Input data'!C129</f>
        <v>5028.6283675846353</v>
      </c>
      <c r="D149" s="1550">
        <f>'Input data'!D129</f>
        <v>47172284.942566738</v>
      </c>
      <c r="E149" s="1508">
        <f>'Input data'!J129*C149</f>
        <v>60499.65733069805</v>
      </c>
      <c r="F149" s="1509">
        <f>'Input data'!L129</f>
        <v>107671.94227326478</v>
      </c>
      <c r="G149" s="1509">
        <f t="shared" si="124"/>
        <v>36093.941324681233</v>
      </c>
      <c r="H149" s="1509">
        <f t="shared" si="125"/>
        <v>42890.130273456904</v>
      </c>
      <c r="I149" s="1511">
        <f t="shared" si="99"/>
        <v>47172.284942566737</v>
      </c>
      <c r="J149" s="1504">
        <f>$J$137*(1+((($J$150/$J$137)^(1/($A$150-$A$137)))-1))^(A149-$A$137)</f>
        <v>0.18266670224386344</v>
      </c>
      <c r="K149" s="1512">
        <f t="shared" si="126"/>
        <v>5713.4582651847313</v>
      </c>
      <c r="L149" s="1512">
        <f t="shared" si="101"/>
        <v>0</v>
      </c>
      <c r="M149" s="1509">
        <f t="shared" si="127"/>
        <v>5713.4582651847313</v>
      </c>
      <c r="N149" s="1454">
        <f t="shared" ref="N149:N170" si="131">N148</f>
        <v>0.5</v>
      </c>
      <c r="O149" s="1511">
        <f t="shared" si="102"/>
        <v>751.91700000000026</v>
      </c>
      <c r="P149" s="1692">
        <f t="shared" si="130"/>
        <v>6465.3752651847317</v>
      </c>
      <c r="Q149" s="1364">
        <f t="shared" si="103"/>
        <v>72518.696332953405</v>
      </c>
      <c r="R149" s="1364">
        <f t="shared" si="128"/>
        <v>36424.755008272172</v>
      </c>
      <c r="S149" s="1091">
        <f t="shared" si="104"/>
        <v>1.0724765819903233</v>
      </c>
      <c r="T149" s="135" t="str">
        <f t="shared" si="105"/>
        <v>No</v>
      </c>
      <c r="U149" s="1091">
        <f t="shared" si="106"/>
        <v>1</v>
      </c>
      <c r="V149" s="1494">
        <f t="shared" si="97"/>
        <v>73708.725155111606</v>
      </c>
      <c r="W149" s="1491">
        <f t="shared" si="98"/>
        <v>0.31543238100002513</v>
      </c>
      <c r="X149" s="527">
        <f t="shared" si="107"/>
        <v>38555.479214800216</v>
      </c>
      <c r="Y149" s="1509">
        <f t="shared" si="108"/>
        <v>13461.505830415459</v>
      </c>
      <c r="Z149" s="528">
        <f t="shared" si="109"/>
        <v>3485.8660805942818</v>
      </c>
      <c r="AA149" s="528">
        <f t="shared" si="110"/>
        <v>0</v>
      </c>
      <c r="AB149" s="528">
        <f t="shared" si="111"/>
        <v>18205.874029301649</v>
      </c>
      <c r="AC149" s="528">
        <f t="shared" si="112"/>
        <v>73708.725155111606</v>
      </c>
      <c r="AD149" s="1487">
        <f t="shared" si="113"/>
        <v>2461.5378901189833</v>
      </c>
      <c r="AE149" s="1504">
        <f t="shared" si="114"/>
        <v>0.52307890461630702</v>
      </c>
      <c r="AF149" s="1504">
        <f t="shared" si="115"/>
        <v>0.1826311037409378</v>
      </c>
      <c r="AG149" s="1504">
        <f t="shared" si="116"/>
        <v>4.729244839411717E-2</v>
      </c>
      <c r="AH149" s="1504">
        <f t="shared" si="129"/>
        <v>0</v>
      </c>
      <c r="AI149" s="1504">
        <f t="shared" si="117"/>
        <v>0.24699754324863799</v>
      </c>
      <c r="AJ149" s="1541">
        <f t="shared" si="118"/>
        <v>1</v>
      </c>
      <c r="AK149" s="1555">
        <f t="shared" si="119"/>
        <v>38555.479214800216</v>
      </c>
      <c r="AL149" s="1498">
        <f t="shared" si="120"/>
        <v>0</v>
      </c>
      <c r="AM149" s="1498">
        <f t="shared" si="121"/>
        <v>0</v>
      </c>
      <c r="AN149" s="1498">
        <f t="shared" si="122"/>
        <v>38555.479214800216</v>
      </c>
      <c r="AO149" s="1563">
        <f t="shared" si="123"/>
        <v>0</v>
      </c>
    </row>
    <row r="150" spans="1:41" s="1151" customFormat="1">
      <c r="A150" s="1565">
        <f>'Input data'!A130</f>
        <v>2030</v>
      </c>
      <c r="B150" s="1551">
        <f>'Input data'!B130</f>
        <v>65.956090000000003</v>
      </c>
      <c r="C150" s="1550">
        <f>'Input data'!C130</f>
        <v>5124.9200809700387</v>
      </c>
      <c r="D150" s="1550">
        <f>'Input data'!D130</f>
        <v>46124498.893218428</v>
      </c>
      <c r="E150" s="1508">
        <f>'Input data'!J130*C150</f>
        <v>61658.147327921863</v>
      </c>
      <c r="F150" s="1509">
        <f>'Input data'!L130</f>
        <v>107782.64622114028</v>
      </c>
      <c r="G150" s="1509">
        <f>G137*(1-$C$4)</f>
        <v>34219.854173807704</v>
      </c>
      <c r="H150" s="1509">
        <f t="shared" si="125"/>
        <v>44445.670045405059</v>
      </c>
      <c r="I150" s="1511">
        <f t="shared" si="99"/>
        <v>46124.498893218428</v>
      </c>
      <c r="J150" s="1504">
        <v>0.2</v>
      </c>
      <c r="K150" s="1512">
        <f t="shared" si="126"/>
        <v>6386.0411779308488</v>
      </c>
      <c r="L150" s="1512">
        <f t="shared" si="101"/>
        <v>0</v>
      </c>
      <c r="M150" s="1509">
        <f t="shared" si="127"/>
        <v>6386.0411779308488</v>
      </c>
      <c r="N150" s="1454">
        <f t="shared" si="131"/>
        <v>0.5</v>
      </c>
      <c r="O150" s="1511">
        <f t="shared" si="102"/>
        <v>751.91700000000026</v>
      </c>
      <c r="P150" s="1692">
        <f t="shared" si="130"/>
        <v>7137.9581779308492</v>
      </c>
      <c r="Q150" s="1364">
        <f t="shared" si="103"/>
        <v>71527.566041281912</v>
      </c>
      <c r="R150" s="1364">
        <f t="shared" si="128"/>
        <v>37307.711867474209</v>
      </c>
      <c r="S150" s="1091">
        <f t="shared" si="104"/>
        <v>1.0773867246217179</v>
      </c>
      <c r="T150" s="135" t="str">
        <f t="shared" si="105"/>
        <v>No</v>
      </c>
      <c r="U150" s="1091">
        <f t="shared" si="106"/>
        <v>1</v>
      </c>
      <c r="V150" s="1494">
        <f t="shared" si="97"/>
        <v>73154.679294433125</v>
      </c>
      <c r="W150" s="1491">
        <f t="shared" si="98"/>
        <v>0.3212759023902616</v>
      </c>
      <c r="X150" s="527">
        <f t="shared" si="107"/>
        <v>36899.599114574747</v>
      </c>
      <c r="Y150" s="1509">
        <f t="shared" si="108"/>
        <v>14162.36960687618</v>
      </c>
      <c r="Z150" s="528">
        <f t="shared" si="109"/>
        <v>3538.217660793739</v>
      </c>
      <c r="AA150" s="528">
        <f t="shared" si="110"/>
        <v>0</v>
      </c>
      <c r="AB150" s="528">
        <f t="shared" si="111"/>
        <v>18554.49291218846</v>
      </c>
      <c r="AC150" s="528">
        <f t="shared" si="112"/>
        <v>73154.679294433125</v>
      </c>
      <c r="AD150" s="1487">
        <f t="shared" si="113"/>
        <v>2679.7449407670429</v>
      </c>
      <c r="AE150" s="1504">
        <f t="shared" si="114"/>
        <v>0.50440517914187222</v>
      </c>
      <c r="AF150" s="1504">
        <f t="shared" si="115"/>
        <v>0.19359485604298041</v>
      </c>
      <c r="AG150" s="1504">
        <f t="shared" si="116"/>
        <v>4.8366252096507897E-2</v>
      </c>
      <c r="AH150" s="1504">
        <f t="shared" si="129"/>
        <v>0</v>
      </c>
      <c r="AI150" s="1504">
        <f t="shared" si="117"/>
        <v>0.25363371271863955</v>
      </c>
      <c r="AJ150" s="1541">
        <f t="shared" si="118"/>
        <v>1</v>
      </c>
      <c r="AK150" s="1555">
        <f t="shared" si="119"/>
        <v>36899.599114574739</v>
      </c>
      <c r="AL150" s="1498">
        <f t="shared" si="120"/>
        <v>0</v>
      </c>
      <c r="AM150" s="1498">
        <f t="shared" si="121"/>
        <v>0</v>
      </c>
      <c r="AN150" s="1498">
        <f t="shared" si="122"/>
        <v>36899.599114574739</v>
      </c>
      <c r="AO150" s="1563">
        <f t="shared" si="123"/>
        <v>0</v>
      </c>
    </row>
    <row r="151" spans="1:41">
      <c r="A151" s="873">
        <f>'Input data'!A131</f>
        <v>2031</v>
      </c>
      <c r="B151" s="1551">
        <f>'Input data'!B131</f>
        <v>66.518977190687664</v>
      </c>
      <c r="C151" s="1550">
        <f>'Input data'!C131</f>
        <v>5062.3234119259168</v>
      </c>
      <c r="D151" s="1550">
        <f>'Input data'!D131</f>
        <v>43997076.132191785</v>
      </c>
      <c r="E151" s="1508">
        <f>'Input data'!J131*C151</f>
        <v>60905.0439465655</v>
      </c>
      <c r="F151" s="1509">
        <f>'Input data'!L131</f>
        <v>104902.12007875729</v>
      </c>
      <c r="G151" s="1509">
        <f>$G$150*(1+((($G$160/$G$150)^(1/($A$160-$A$150)))-1))^(A151-$A$150)</f>
        <v>33020.827958397946</v>
      </c>
      <c r="H151" s="1509">
        <f t="shared" si="125"/>
        <v>43216.075477643084</v>
      </c>
      <c r="I151" s="1511">
        <f t="shared" si="99"/>
        <v>43997.076132191782</v>
      </c>
      <c r="J151" s="1504">
        <f t="shared" ref="J151:J170" si="132">J150</f>
        <v>0.2</v>
      </c>
      <c r="K151" s="1512">
        <f t="shared" si="126"/>
        <v>6091.4946857025934</v>
      </c>
      <c r="L151" s="1512">
        <f t="shared" si="101"/>
        <v>0</v>
      </c>
      <c r="M151" s="1509">
        <f t="shared" si="127"/>
        <v>6091.4946857025934</v>
      </c>
      <c r="N151" s="1454">
        <f t="shared" si="131"/>
        <v>0.5</v>
      </c>
      <c r="O151" s="1511">
        <f t="shared" si="102"/>
        <v>751.91700000000026</v>
      </c>
      <c r="P151" s="1692">
        <f t="shared" si="130"/>
        <v>6843.4116857025938</v>
      </c>
      <c r="Q151" s="1364">
        <f t="shared" si="103"/>
        <v>69393.491750338435</v>
      </c>
      <c r="R151" s="1364">
        <f t="shared" si="128"/>
        <v>36372.663791940489</v>
      </c>
      <c r="S151" s="1091">
        <f t="shared" si="104"/>
        <v>1.0636578463979678</v>
      </c>
      <c r="T151" s="135" t="str">
        <f t="shared" si="105"/>
        <v>No</v>
      </c>
      <c r="U151" s="1091">
        <f t="shared" si="106"/>
        <v>1</v>
      </c>
      <c r="V151" s="1494">
        <f t="shared" si="97"/>
        <v>70706.289234172276</v>
      </c>
      <c r="W151" s="1491">
        <f t="shared" si="98"/>
        <v>0.32597845323728281</v>
      </c>
      <c r="X151" s="527">
        <f t="shared" si="107"/>
        <v>35197.66090575343</v>
      </c>
      <c r="Y151" s="1509">
        <f t="shared" si="108"/>
        <v>13676.577935755797</v>
      </c>
      <c r="Z151" s="528">
        <f t="shared" si="109"/>
        <v>3504.1852978367515</v>
      </c>
      <c r="AA151" s="528">
        <f t="shared" si="110"/>
        <v>0</v>
      </c>
      <c r="AB151" s="528">
        <f t="shared" si="111"/>
        <v>18327.865094826295</v>
      </c>
      <c r="AC151" s="528">
        <f t="shared" si="112"/>
        <v>70706.289234172276</v>
      </c>
      <c r="AD151" s="1487">
        <f t="shared" si="113"/>
        <v>2176.8329473554841</v>
      </c>
      <c r="AE151" s="1504">
        <f t="shared" si="114"/>
        <v>0.49780099177857062</v>
      </c>
      <c r="AF151" s="1504">
        <f t="shared" si="115"/>
        <v>0.19342802576529389</v>
      </c>
      <c r="AG151" s="1504">
        <f t="shared" si="116"/>
        <v>4.9559739816513841E-2</v>
      </c>
      <c r="AH151" s="1504">
        <f t="shared" si="129"/>
        <v>0</v>
      </c>
      <c r="AI151" s="1504">
        <f t="shared" si="117"/>
        <v>0.25921124263962159</v>
      </c>
      <c r="AJ151" s="1541">
        <f t="shared" si="118"/>
        <v>0.99999999999999989</v>
      </c>
      <c r="AK151" s="1555">
        <f t="shared" si="119"/>
        <v>35197.660905753422</v>
      </c>
      <c r="AL151" s="1498">
        <f t="shared" si="120"/>
        <v>0</v>
      </c>
      <c r="AM151" s="1498">
        <f t="shared" si="121"/>
        <v>0</v>
      </c>
      <c r="AN151" s="1498">
        <f t="shared" si="122"/>
        <v>35197.660905753422</v>
      </c>
      <c r="AO151" s="1563">
        <f t="shared" si="123"/>
        <v>0</v>
      </c>
    </row>
    <row r="152" spans="1:41">
      <c r="A152" s="873">
        <f>'Input data'!A132</f>
        <v>2032</v>
      </c>
      <c r="B152" s="1551">
        <f>'Input data'!B132</f>
        <v>67.08666821358311</v>
      </c>
      <c r="C152" s="1550">
        <f>'Input data'!C132</f>
        <v>5235.9881649481622</v>
      </c>
      <c r="D152" s="1550">
        <f>'Input data'!D132</f>
        <v>43370376.757557131</v>
      </c>
      <c r="E152" s="1508">
        <f>'Input data'!J132*C152</f>
        <v>62994.412513945383</v>
      </c>
      <c r="F152" s="1509">
        <f>'Input data'!L132</f>
        <v>106364.78927150252</v>
      </c>
      <c r="G152" s="1509">
        <f t="shared" ref="G152:G159" si="133">$G$150*(1+((($G$160/$G$150)^(1/($A$160-$A$150)))-1))^(A152-$A$150)</f>
        <v>31863.814308498775</v>
      </c>
      <c r="H152" s="1509">
        <f t="shared" si="125"/>
        <v>44983.856241917827</v>
      </c>
      <c r="I152" s="1511">
        <f t="shared" si="99"/>
        <v>43370.376757557133</v>
      </c>
      <c r="J152" s="1504">
        <f t="shared" si="132"/>
        <v>0.2</v>
      </c>
      <c r="K152" s="1512">
        <f t="shared" si="126"/>
        <v>6004.72674006343</v>
      </c>
      <c r="L152" s="1512">
        <f t="shared" si="101"/>
        <v>0</v>
      </c>
      <c r="M152" s="1509">
        <f t="shared" si="127"/>
        <v>6004.72674006343</v>
      </c>
      <c r="N152" s="1454">
        <f t="shared" si="131"/>
        <v>0.5</v>
      </c>
      <c r="O152" s="1511">
        <f t="shared" si="102"/>
        <v>751.91700000000026</v>
      </c>
      <c r="P152" s="1692">
        <f t="shared" si="130"/>
        <v>6756.6437400634304</v>
      </c>
      <c r="Q152" s="1364">
        <f t="shared" si="103"/>
        <v>70091.026810353171</v>
      </c>
      <c r="R152" s="1364">
        <f t="shared" si="128"/>
        <v>38227.212501854396</v>
      </c>
      <c r="S152" s="1091">
        <f t="shared" si="104"/>
        <v>1.0800256836348341</v>
      </c>
      <c r="T152" s="135" t="str">
        <f t="shared" si="105"/>
        <v>No</v>
      </c>
      <c r="U152" s="1091">
        <f t="shared" si="106"/>
        <v>1</v>
      </c>
      <c r="V152" s="1494">
        <f t="shared" si="97"/>
        <v>70970.063867195044</v>
      </c>
      <c r="W152" s="1491">
        <f t="shared" si="98"/>
        <v>0.33276731563826367</v>
      </c>
      <c r="X152" s="527">
        <f t="shared" si="107"/>
        <v>34696.301406045706</v>
      </c>
      <c r="Y152" s="1509">
        <f t="shared" si="108"/>
        <v>13718.550811999121</v>
      </c>
      <c r="Z152" s="528">
        <f t="shared" si="109"/>
        <v>3598.6028123457536</v>
      </c>
      <c r="AA152" s="528">
        <f t="shared" si="110"/>
        <v>0</v>
      </c>
      <c r="AB152" s="528">
        <f t="shared" si="111"/>
        <v>18956.608836804473</v>
      </c>
      <c r="AC152" s="528">
        <f t="shared" si="112"/>
        <v>70970.063867195044</v>
      </c>
      <c r="AD152" s="1487">
        <f t="shared" si="113"/>
        <v>2832.4870975469312</v>
      </c>
      <c r="AE152" s="1504">
        <f t="shared" si="114"/>
        <v>0.48888643345414268</v>
      </c>
      <c r="AF152" s="1504">
        <f t="shared" si="115"/>
        <v>0.19330052791935468</v>
      </c>
      <c r="AG152" s="1504">
        <f t="shared" si="116"/>
        <v>5.0705926080040618E-2</v>
      </c>
      <c r="AH152" s="1504">
        <f t="shared" si="129"/>
        <v>0</v>
      </c>
      <c r="AI152" s="1504">
        <f t="shared" si="117"/>
        <v>0.26710711254646213</v>
      </c>
      <c r="AJ152" s="1541">
        <f t="shared" si="118"/>
        <v>1</v>
      </c>
      <c r="AK152" s="1555">
        <f t="shared" si="119"/>
        <v>34696.301406045706</v>
      </c>
      <c r="AL152" s="1498">
        <f t="shared" si="120"/>
        <v>0</v>
      </c>
      <c r="AM152" s="1498">
        <f t="shared" si="121"/>
        <v>0</v>
      </c>
      <c r="AN152" s="1498">
        <f t="shared" si="122"/>
        <v>34696.301406045706</v>
      </c>
      <c r="AO152" s="1563">
        <f t="shared" si="123"/>
        <v>0</v>
      </c>
    </row>
    <row r="153" spans="1:41">
      <c r="A153" s="873">
        <f>'Input data'!A133</f>
        <v>2033</v>
      </c>
      <c r="B153" s="1551">
        <f>'Input data'!B133</f>
        <v>67.659204065895452</v>
      </c>
      <c r="C153" s="1550">
        <f>'Input data'!C133</f>
        <v>5403.9196893114931</v>
      </c>
      <c r="D153" s="1550">
        <f>'Input data'!D133</f>
        <v>42244930.407056943</v>
      </c>
      <c r="E153" s="1508">
        <f>'Input data'!J133*C153</f>
        <v>65014.804345740915</v>
      </c>
      <c r="F153" s="1509">
        <f>'Input data'!L133</f>
        <v>107259.73475279786</v>
      </c>
      <c r="G153" s="1509">
        <f t="shared" si="133"/>
        <v>30747.341149823493</v>
      </c>
      <c r="H153" s="1509">
        <f t="shared" si="125"/>
        <v>46203.466945624154</v>
      </c>
      <c r="I153" s="1511">
        <f t="shared" si="99"/>
        <v>42244.930407056941</v>
      </c>
      <c r="J153" s="1504">
        <f t="shared" si="132"/>
        <v>0.2</v>
      </c>
      <c r="K153" s="1512">
        <f t="shared" si="126"/>
        <v>5848.9061477468622</v>
      </c>
      <c r="L153" s="1512">
        <f t="shared" si="101"/>
        <v>0</v>
      </c>
      <c r="M153" s="1509">
        <f t="shared" si="127"/>
        <v>5848.9061477468622</v>
      </c>
      <c r="N153" s="1454">
        <f t="shared" si="131"/>
        <v>0.5</v>
      </c>
      <c r="O153" s="1511">
        <f t="shared" si="102"/>
        <v>751.91700000000026</v>
      </c>
      <c r="P153" s="1692">
        <f t="shared" si="130"/>
        <v>6600.8231477468626</v>
      </c>
      <c r="Q153" s="1364">
        <f t="shared" si="103"/>
        <v>70349.984947700781</v>
      </c>
      <c r="R153" s="1364">
        <f t="shared" si="128"/>
        <v>39602.643797877288</v>
      </c>
      <c r="S153" s="1091">
        <f t="shared" si="104"/>
        <v>1.0833998957144744</v>
      </c>
      <c r="T153" s="135" t="str">
        <f t="shared" si="105"/>
        <v>No</v>
      </c>
      <c r="U153" s="1091">
        <f t="shared" si="106"/>
        <v>1</v>
      </c>
      <c r="V153" s="1494">
        <f t="shared" si="97"/>
        <v>70705.694130742631</v>
      </c>
      <c r="W153" s="1491">
        <f t="shared" si="98"/>
        <v>0.34079928228707201</v>
      </c>
      <c r="X153" s="527">
        <f t="shared" si="107"/>
        <v>33795.944325645556</v>
      </c>
      <c r="Y153" s="1509">
        <f t="shared" si="108"/>
        <v>13655.250764297278</v>
      </c>
      <c r="Z153" s="528">
        <f t="shared" si="109"/>
        <v>3689.9033028722483</v>
      </c>
      <c r="AA153" s="528">
        <f t="shared" si="110"/>
        <v>0</v>
      </c>
      <c r="AB153" s="528">
        <f t="shared" si="111"/>
        <v>19564.595737927553</v>
      </c>
      <c r="AC153" s="528">
        <f t="shared" si="112"/>
        <v>70705.694130742631</v>
      </c>
      <c r="AD153" s="1487">
        <f t="shared" si="113"/>
        <v>3048.6031758220633</v>
      </c>
      <c r="AE153" s="1504">
        <f t="shared" si="114"/>
        <v>0.4779805182755596</v>
      </c>
      <c r="AF153" s="1504">
        <f t="shared" si="115"/>
        <v>0.19312802076516231</v>
      </c>
      <c r="AG153" s="1504">
        <f t="shared" si="116"/>
        <v>5.2186791293629194E-2</v>
      </c>
      <c r="AH153" s="1504">
        <f t="shared" si="129"/>
        <v>0</v>
      </c>
      <c r="AI153" s="1504">
        <f t="shared" si="117"/>
        <v>0.27670466966564894</v>
      </c>
      <c r="AJ153" s="1541">
        <f t="shared" si="118"/>
        <v>1</v>
      </c>
      <c r="AK153" s="1555">
        <f t="shared" si="119"/>
        <v>33795.944325645549</v>
      </c>
      <c r="AL153" s="1498">
        <f t="shared" si="120"/>
        <v>0</v>
      </c>
      <c r="AM153" s="1498">
        <f t="shared" si="121"/>
        <v>0</v>
      </c>
      <c r="AN153" s="1498">
        <f t="shared" si="122"/>
        <v>33795.944325645549</v>
      </c>
      <c r="AO153" s="1563">
        <f t="shared" si="123"/>
        <v>0</v>
      </c>
    </row>
    <row r="154" spans="1:41">
      <c r="A154" s="873">
        <f>'Input data'!A134</f>
        <v>2034</v>
      </c>
      <c r="B154" s="1551">
        <f>'Input data'!B134</f>
        <v>68.236626094715163</v>
      </c>
      <c r="C154" s="1550">
        <f>'Input data'!C134</f>
        <v>5610.4237500420486</v>
      </c>
      <c r="D154" s="1550">
        <f>'Input data'!D134</f>
        <v>40465875.003352016</v>
      </c>
      <c r="E154" s="1508">
        <f>'Input data'!J134*C154</f>
        <v>67499.264122512439</v>
      </c>
      <c r="F154" s="1509">
        <f>'Input data'!L134</f>
        <v>107965.13912586446</v>
      </c>
      <c r="G154" s="1509">
        <f t="shared" si="133"/>
        <v>29669.987987956312</v>
      </c>
      <c r="H154" s="1509">
        <f t="shared" si="125"/>
        <v>47036.862249337821</v>
      </c>
      <c r="I154" s="1511">
        <f t="shared" si="99"/>
        <v>40465.875003352019</v>
      </c>
      <c r="J154" s="1504">
        <f t="shared" si="132"/>
        <v>0.2</v>
      </c>
      <c r="K154" s="1512">
        <f t="shared" si="126"/>
        <v>5602.5919039394266</v>
      </c>
      <c r="L154" s="1512">
        <f t="shared" si="101"/>
        <v>0</v>
      </c>
      <c r="M154" s="1509">
        <f t="shared" si="127"/>
        <v>5602.5919039394266</v>
      </c>
      <c r="N154" s="1454">
        <f t="shared" si="131"/>
        <v>0.5</v>
      </c>
      <c r="O154" s="1511">
        <f t="shared" si="102"/>
        <v>751.91700000000026</v>
      </c>
      <c r="P154" s="1692">
        <f t="shared" si="130"/>
        <v>6354.508903939427</v>
      </c>
      <c r="Q154" s="1364">
        <f t="shared" si="103"/>
        <v>70352.341333354707</v>
      </c>
      <c r="R154" s="1364">
        <f t="shared" si="128"/>
        <v>40682.353345398398</v>
      </c>
      <c r="S154" s="1091">
        <f t="shared" si="104"/>
        <v>1.0711621258135091</v>
      </c>
      <c r="T154" s="135" t="str">
        <f t="shared" si="105"/>
        <v>No</v>
      </c>
      <c r="U154" s="1091">
        <f t="shared" si="106"/>
        <v>1</v>
      </c>
      <c r="V154" s="1494">
        <f t="shared" si="97"/>
        <v>69985.497795191375</v>
      </c>
      <c r="W154" s="1491">
        <f t="shared" si="98"/>
        <v>0.35177689426581371</v>
      </c>
      <c r="X154" s="527">
        <f t="shared" si="107"/>
        <v>32372.700002681617</v>
      </c>
      <c r="Y154" s="1509">
        <f t="shared" si="108"/>
        <v>13498.390604381504</v>
      </c>
      <c r="Z154" s="528">
        <f t="shared" si="109"/>
        <v>3802.1747903841533</v>
      </c>
      <c r="AA154" s="528">
        <f t="shared" si="110"/>
        <v>0</v>
      </c>
      <c r="AB154" s="528">
        <f t="shared" si="111"/>
        <v>20312.232397744108</v>
      </c>
      <c r="AC154" s="528">
        <f t="shared" si="112"/>
        <v>69985.497795191375</v>
      </c>
      <c r="AD154" s="1487">
        <f t="shared" si="113"/>
        <v>2702.7120147253045</v>
      </c>
      <c r="AE154" s="1504">
        <f t="shared" si="114"/>
        <v>0.46256297408098035</v>
      </c>
      <c r="AF154" s="1504">
        <f t="shared" si="115"/>
        <v>0.19287411006039831</v>
      </c>
      <c r="AG154" s="1504">
        <f t="shared" si="116"/>
        <v>5.4328038095992459E-2</v>
      </c>
      <c r="AH154" s="1504">
        <f t="shared" si="129"/>
        <v>0</v>
      </c>
      <c r="AI154" s="1504">
        <f t="shared" si="117"/>
        <v>0.29023487776262896</v>
      </c>
      <c r="AJ154" s="1541">
        <f t="shared" si="118"/>
        <v>1</v>
      </c>
      <c r="AK154" s="1555">
        <f t="shared" si="119"/>
        <v>32372.700002681609</v>
      </c>
      <c r="AL154" s="1498">
        <f t="shared" si="120"/>
        <v>0</v>
      </c>
      <c r="AM154" s="1498">
        <f t="shared" si="121"/>
        <v>0</v>
      </c>
      <c r="AN154" s="1498">
        <f t="shared" si="122"/>
        <v>32372.700002681609</v>
      </c>
      <c r="AO154" s="1563">
        <f t="shared" si="123"/>
        <v>0</v>
      </c>
    </row>
    <row r="155" spans="1:41">
      <c r="A155" s="873">
        <f>'Input data'!A135</f>
        <v>2035</v>
      </c>
      <c r="B155" s="1551">
        <f>'Input data'!B135</f>
        <v>68.818976000000006</v>
      </c>
      <c r="C155" s="1550">
        <f>'Input data'!C135</f>
        <v>5785.6697548645852</v>
      </c>
      <c r="D155" s="1550">
        <f>'Input data'!D135</f>
        <v>33374025.316822052</v>
      </c>
      <c r="E155" s="1508">
        <f>'Input data'!J135*C155</f>
        <v>69607.656802449113</v>
      </c>
      <c r="F155" s="1509">
        <f>'Input data'!L135</f>
        <v>102981.68211927116</v>
      </c>
      <c r="G155" s="1509">
        <f t="shared" si="133"/>
        <v>28630.384101050156</v>
      </c>
      <c r="H155" s="1509">
        <f t="shared" si="125"/>
        <v>42630.914491331023</v>
      </c>
      <c r="I155" s="1511">
        <f t="shared" si="99"/>
        <v>33374.025316822052</v>
      </c>
      <c r="J155" s="1504">
        <f t="shared" si="132"/>
        <v>0.2</v>
      </c>
      <c r="K155" s="1512">
        <f t="shared" si="126"/>
        <v>4620.7092772961896</v>
      </c>
      <c r="L155" s="1512">
        <f t="shared" si="101"/>
        <v>0</v>
      </c>
      <c r="M155" s="1509">
        <f t="shared" si="127"/>
        <v>4620.7092772961896</v>
      </c>
      <c r="N155" s="1454">
        <f t="shared" si="131"/>
        <v>0.5</v>
      </c>
      <c r="O155" s="1511">
        <f t="shared" si="102"/>
        <v>751.91700000000026</v>
      </c>
      <c r="P155" s="1692">
        <f t="shared" si="130"/>
        <v>5372.62627729619</v>
      </c>
      <c r="Q155" s="1364">
        <f t="shared" si="103"/>
        <v>65888.672315084987</v>
      </c>
      <c r="R155" s="1364">
        <f t="shared" si="128"/>
        <v>37258.28821403483</v>
      </c>
      <c r="S155" s="1091">
        <f t="shared" si="104"/>
        <v>0.95072235650154879</v>
      </c>
      <c r="T155" s="135" t="str">
        <f t="shared" si="105"/>
        <v>Yes</v>
      </c>
      <c r="U155" s="1091">
        <f t="shared" si="106"/>
        <v>0.95072235650154879</v>
      </c>
      <c r="V155" s="1494">
        <f t="shared" si="97"/>
        <v>65723.393905236357</v>
      </c>
      <c r="W155" s="1491">
        <f t="shared" si="98"/>
        <v>0.36179529647693132</v>
      </c>
      <c r="X155" s="527">
        <f t="shared" si="107"/>
        <v>28630.38410105016</v>
      </c>
      <c r="Y155" s="1509">
        <f t="shared" si="108"/>
        <v>12248.856833817412</v>
      </c>
      <c r="Z155" s="528">
        <f t="shared" si="109"/>
        <v>3897.4519949695709</v>
      </c>
      <c r="AA155" s="528">
        <f t="shared" si="110"/>
        <v>0</v>
      </c>
      <c r="AB155" s="528">
        <f t="shared" si="111"/>
        <v>20946.70097539921</v>
      </c>
      <c r="AC155" s="528">
        <f t="shared" si="112"/>
        <v>65723.393905236357</v>
      </c>
      <c r="AD155" s="1487">
        <f t="shared" si="113"/>
        <v>0</v>
      </c>
      <c r="AE155" s="1504">
        <f t="shared" si="114"/>
        <v>0.4356193799475882</v>
      </c>
      <c r="AF155" s="1504">
        <f t="shared" si="115"/>
        <v>0.18636981607307887</v>
      </c>
      <c r="AG155" s="1504">
        <f t="shared" si="116"/>
        <v>5.9300832829618233E-2</v>
      </c>
      <c r="AH155" s="1504">
        <f t="shared" si="129"/>
        <v>0</v>
      </c>
      <c r="AI155" s="1504">
        <f t="shared" si="117"/>
        <v>0.31870997114971461</v>
      </c>
      <c r="AJ155" s="1541">
        <f t="shared" si="118"/>
        <v>0.99999999999999978</v>
      </c>
      <c r="AK155" s="1555">
        <f t="shared" si="119"/>
        <v>26699.220253457643</v>
      </c>
      <c r="AL155" s="1498">
        <f t="shared" si="120"/>
        <v>1830.687191198502</v>
      </c>
      <c r="AM155" s="1498">
        <f t="shared" si="121"/>
        <v>100.47665639401346</v>
      </c>
      <c r="AN155" s="1498">
        <f t="shared" si="122"/>
        <v>28630.38410105016</v>
      </c>
      <c r="AO155" s="1563">
        <f t="shared" si="123"/>
        <v>0</v>
      </c>
    </row>
    <row r="156" spans="1:41">
      <c r="A156" s="873">
        <f>'Input data'!A136</f>
        <v>2036</v>
      </c>
      <c r="B156" s="1551">
        <f>'Input data'!B136</f>
        <v>69.322810489383542</v>
      </c>
      <c r="C156" s="1550">
        <f>'Input data'!C136</f>
        <v>5959.8602057408698</v>
      </c>
      <c r="D156" s="1550">
        <f>'Input data'!D136</f>
        <v>24482482.614495005</v>
      </c>
      <c r="E156" s="1508">
        <f>'Input data'!J136*C156</f>
        <v>71703.35006469686</v>
      </c>
      <c r="F156" s="1509">
        <f>'Input data'!L136</f>
        <v>96185.832679191866</v>
      </c>
      <c r="G156" s="1509">
        <f t="shared" si="133"/>
        <v>27627.206795850379</v>
      </c>
      <c r="H156" s="1509">
        <f t="shared" si="125"/>
        <v>36492.327154822138</v>
      </c>
      <c r="I156" s="1511">
        <f t="shared" si="99"/>
        <v>24482.482614495006</v>
      </c>
      <c r="J156" s="1504">
        <f t="shared" si="132"/>
        <v>0.2</v>
      </c>
      <c r="K156" s="1512">
        <f t="shared" si="126"/>
        <v>3389.6550827813626</v>
      </c>
      <c r="L156" s="1512">
        <f t="shared" si="101"/>
        <v>0</v>
      </c>
      <c r="M156" s="1509">
        <f t="shared" si="127"/>
        <v>3389.6550827813626</v>
      </c>
      <c r="N156" s="1454">
        <f t="shared" si="131"/>
        <v>0.5</v>
      </c>
      <c r="O156" s="1511">
        <f t="shared" si="102"/>
        <v>751.91700000000026</v>
      </c>
      <c r="P156" s="1692">
        <f t="shared" si="130"/>
        <v>4141.572082781363</v>
      </c>
      <c r="Q156" s="1364">
        <f t="shared" si="103"/>
        <v>59977.96186789115</v>
      </c>
      <c r="R156" s="1364">
        <f t="shared" si="128"/>
        <v>32350.755072040771</v>
      </c>
      <c r="S156" s="1091">
        <f t="shared" si="104"/>
        <v>0.80092034247620214</v>
      </c>
      <c r="T156" s="135" t="str">
        <f t="shared" si="105"/>
        <v>Yes</v>
      </c>
      <c r="U156" s="1091">
        <f t="shared" si="106"/>
        <v>0.80092034247620214</v>
      </c>
      <c r="V156" s="1494">
        <f t="shared" si="97"/>
        <v>63835.077607151106</v>
      </c>
      <c r="W156" s="1491">
        <f t="shared" si="98"/>
        <v>0.33633596727222892</v>
      </c>
      <c r="X156" s="527">
        <f t="shared" si="107"/>
        <v>27627.206795850383</v>
      </c>
      <c r="Y156" s="1509">
        <f t="shared" si="108"/>
        <v>10638.36751433097</v>
      </c>
      <c r="Z156" s="528">
        <f t="shared" si="109"/>
        <v>3992.1553192580318</v>
      </c>
      <c r="AA156" s="528">
        <f t="shared" si="110"/>
        <v>0</v>
      </c>
      <c r="AB156" s="528">
        <f t="shared" si="111"/>
        <v>21577.347977711717</v>
      </c>
      <c r="AC156" s="528">
        <f t="shared" si="112"/>
        <v>63835.077607151106</v>
      </c>
      <c r="AD156" s="1487">
        <f t="shared" si="113"/>
        <v>0</v>
      </c>
      <c r="AE156" s="1504">
        <f t="shared" si="114"/>
        <v>0.43279036904868512</v>
      </c>
      <c r="AF156" s="1504">
        <f t="shared" si="115"/>
        <v>0.16665394502691433</v>
      </c>
      <c r="AG156" s="1504">
        <f t="shared" si="116"/>
        <v>6.2538583313491755E-2</v>
      </c>
      <c r="AH156" s="1504">
        <f t="shared" si="129"/>
        <v>0</v>
      </c>
      <c r="AI156" s="1504">
        <f t="shared" si="117"/>
        <v>0.33801710261090873</v>
      </c>
      <c r="AJ156" s="1541">
        <f t="shared" si="118"/>
        <v>0.99999999999999978</v>
      </c>
      <c r="AK156" s="1555">
        <f t="shared" si="119"/>
        <v>19585.986091596005</v>
      </c>
      <c r="AL156" s="1498">
        <f t="shared" si="120"/>
        <v>7618.571172649612</v>
      </c>
      <c r="AM156" s="1498">
        <f t="shared" si="121"/>
        <v>422.64953160476443</v>
      </c>
      <c r="AN156" s="1498">
        <f t="shared" si="122"/>
        <v>27627.206795850383</v>
      </c>
      <c r="AO156" s="1563">
        <f t="shared" si="123"/>
        <v>0</v>
      </c>
    </row>
    <row r="157" spans="1:41">
      <c r="A157" s="873">
        <f>'Input data'!A137</f>
        <v>2037</v>
      </c>
      <c r="B157" s="1551">
        <f>'Input data'!B137</f>
        <v>69.830333629884052</v>
      </c>
      <c r="C157" s="1550">
        <f>'Input data'!C137</f>
        <v>6149.2553125491713</v>
      </c>
      <c r="D157" s="1550">
        <f>'Input data'!D137</f>
        <v>21483552.95875904</v>
      </c>
      <c r="E157" s="1508">
        <f>'Input data'!J137*C157</f>
        <v>73981.971236202691</v>
      </c>
      <c r="F157" s="1509">
        <f>'Input data'!L137</f>
        <v>95465.524194961734</v>
      </c>
      <c r="G157" s="1509">
        <f t="shared" si="133"/>
        <v>26659.179724825448</v>
      </c>
      <c r="H157" s="1509">
        <f t="shared" si="125"/>
        <v>35953.490960026786</v>
      </c>
      <c r="I157" s="1511">
        <f t="shared" si="99"/>
        <v>21483.552958759039</v>
      </c>
      <c r="J157" s="1504">
        <f t="shared" si="132"/>
        <v>0.2</v>
      </c>
      <c r="K157" s="1512">
        <f t="shared" si="126"/>
        <v>2974.446490150699</v>
      </c>
      <c r="L157" s="1512">
        <f t="shared" si="101"/>
        <v>0</v>
      </c>
      <c r="M157" s="1509">
        <f t="shared" si="127"/>
        <v>2974.446490150699</v>
      </c>
      <c r="N157" s="1454">
        <f t="shared" si="131"/>
        <v>0.5</v>
      </c>
      <c r="O157" s="1511">
        <f t="shared" si="102"/>
        <v>751.91700000000026</v>
      </c>
      <c r="P157" s="1692">
        <f t="shared" si="130"/>
        <v>3726.3634901506994</v>
      </c>
      <c r="Q157" s="1364">
        <f t="shared" si="103"/>
        <v>58886.307194701527</v>
      </c>
      <c r="R157" s="1364">
        <f t="shared" si="128"/>
        <v>32227.127469876079</v>
      </c>
      <c r="S157" s="1091">
        <f t="shared" si="104"/>
        <v>0.77284271160412465</v>
      </c>
      <c r="T157" s="135" t="str">
        <f t="shared" si="105"/>
        <v>Yes</v>
      </c>
      <c r="U157" s="1091">
        <f t="shared" si="106"/>
        <v>0.77284271160412465</v>
      </c>
      <c r="V157" s="1494">
        <f t="shared" si="97"/>
        <v>63238.396725085651</v>
      </c>
      <c r="W157" s="1491">
        <f t="shared" si="98"/>
        <v>0.33757869913395289</v>
      </c>
      <c r="X157" s="527">
        <f t="shared" si="107"/>
        <v>26659.179724825452</v>
      </c>
      <c r="Y157" s="1509">
        <f t="shared" si="108"/>
        <v>10221.049331110855</v>
      </c>
      <c r="Z157" s="528">
        <f t="shared" si="109"/>
        <v>4095.1250637445028</v>
      </c>
      <c r="AA157" s="528">
        <f t="shared" si="110"/>
        <v>0</v>
      </c>
      <c r="AB157" s="528">
        <f t="shared" si="111"/>
        <v>22263.042605404848</v>
      </c>
      <c r="AC157" s="528">
        <f t="shared" si="112"/>
        <v>63238.396725085651</v>
      </c>
      <c r="AD157" s="1487">
        <f t="shared" si="113"/>
        <v>0</v>
      </c>
      <c r="AE157" s="1504">
        <f t="shared" si="114"/>
        <v>0.42156634426897455</v>
      </c>
      <c r="AF157" s="1504">
        <f t="shared" si="115"/>
        <v>0.16162726856508569</v>
      </c>
      <c r="AG157" s="1504">
        <f t="shared" si="116"/>
        <v>6.4756940020903986E-2</v>
      </c>
      <c r="AH157" s="1504">
        <f t="shared" si="129"/>
        <v>0</v>
      </c>
      <c r="AI157" s="1504">
        <f t="shared" si="117"/>
        <v>0.35204944714503583</v>
      </c>
      <c r="AJ157" s="1541">
        <f t="shared" si="118"/>
        <v>1</v>
      </c>
      <c r="AK157" s="1555">
        <f t="shared" si="119"/>
        <v>17186.84236700723</v>
      </c>
      <c r="AL157" s="1498">
        <f t="shared" si="120"/>
        <v>8969.3252290196542</v>
      </c>
      <c r="AM157" s="1498">
        <f t="shared" si="121"/>
        <v>503.01212879855979</v>
      </c>
      <c r="AN157" s="1498">
        <f t="shared" si="122"/>
        <v>26659.179724825444</v>
      </c>
      <c r="AO157" s="1563">
        <f t="shared" si="123"/>
        <v>0</v>
      </c>
    </row>
    <row r="158" spans="1:41">
      <c r="A158" s="873">
        <f>'Input data'!A138</f>
        <v>2038</v>
      </c>
      <c r="B158" s="1551">
        <f>'Input data'!B138</f>
        <v>70.341572426693446</v>
      </c>
      <c r="C158" s="1550">
        <f>'Input data'!C138</f>
        <v>6333.0462394281813</v>
      </c>
      <c r="D158" s="1550">
        <f>'Input data'!D138</f>
        <v>18854877.897592288</v>
      </c>
      <c r="E158" s="1508">
        <f>'Input data'!J138*C158</f>
        <v>76193.168263278349</v>
      </c>
      <c r="F158" s="1509">
        <f>'Input data'!L138</f>
        <v>95048.046160870639</v>
      </c>
      <c r="G158" s="1509">
        <f t="shared" si="133"/>
        <v>25725.071262263602</v>
      </c>
      <c r="H158" s="1509">
        <f t="shared" si="125"/>
        <v>35689.513964220983</v>
      </c>
      <c r="I158" s="1511">
        <f t="shared" si="99"/>
        <v>18854.877897592287</v>
      </c>
      <c r="J158" s="1504">
        <f t="shared" si="132"/>
        <v>0.2</v>
      </c>
      <c r="K158" s="1512">
        <f t="shared" si="126"/>
        <v>2610.5004834336714</v>
      </c>
      <c r="L158" s="1512">
        <f t="shared" si="101"/>
        <v>0</v>
      </c>
      <c r="M158" s="1509">
        <f t="shared" si="127"/>
        <v>2610.5004834336714</v>
      </c>
      <c r="N158" s="1454">
        <f t="shared" si="131"/>
        <v>0.5</v>
      </c>
      <c r="O158" s="1511">
        <f t="shared" si="102"/>
        <v>751.91700000000026</v>
      </c>
      <c r="P158" s="1692">
        <f t="shared" si="130"/>
        <v>3362.4174834336718</v>
      </c>
      <c r="Q158" s="1364">
        <f t="shared" si="103"/>
        <v>58052.167743050908</v>
      </c>
      <c r="R158" s="1364">
        <f t="shared" si="128"/>
        <v>32327.096480787306</v>
      </c>
      <c r="S158" s="1091">
        <f t="shared" si="104"/>
        <v>0.75234818443464202</v>
      </c>
      <c r="T158" s="135" t="str">
        <f t="shared" si="105"/>
        <v>Yes</v>
      </c>
      <c r="U158" s="1091">
        <f t="shared" si="106"/>
        <v>0.75234818443464202</v>
      </c>
      <c r="V158" s="1494">
        <f t="shared" si="97"/>
        <v>62720.949680083329</v>
      </c>
      <c r="W158" s="1491">
        <f t="shared" si="98"/>
        <v>0.34011321417457729</v>
      </c>
      <c r="X158" s="527">
        <f t="shared" si="107"/>
        <v>25725.071262263602</v>
      </c>
      <c r="Y158" s="1509">
        <f t="shared" si="108"/>
        <v>9872.3828666461995</v>
      </c>
      <c r="Z158" s="528">
        <f t="shared" si="109"/>
        <v>4195.0479450616976</v>
      </c>
      <c r="AA158" s="528">
        <f t="shared" si="110"/>
        <v>0</v>
      </c>
      <c r="AB158" s="528">
        <f t="shared" si="111"/>
        <v>22928.447606111837</v>
      </c>
      <c r="AC158" s="528">
        <f t="shared" si="112"/>
        <v>62720.949680083329</v>
      </c>
      <c r="AD158" s="1487">
        <f t="shared" si="113"/>
        <v>0</v>
      </c>
      <c r="AE158" s="1504">
        <f t="shared" si="114"/>
        <v>0.41015117585874894</v>
      </c>
      <c r="AF158" s="1504">
        <f t="shared" si="115"/>
        <v>0.15740168025199908</v>
      </c>
      <c r="AG158" s="1504">
        <f t="shared" si="116"/>
        <v>6.6884318022273348E-2</v>
      </c>
      <c r="AH158" s="1504">
        <f t="shared" si="129"/>
        <v>0</v>
      </c>
      <c r="AI158" s="1504">
        <f t="shared" si="117"/>
        <v>0.36556282586697869</v>
      </c>
      <c r="AJ158" s="1541">
        <f t="shared" si="118"/>
        <v>1</v>
      </c>
      <c r="AK158" s="1555">
        <f t="shared" si="119"/>
        <v>15083.90231807383</v>
      </c>
      <c r="AL158" s="1498">
        <f t="shared" si="120"/>
        <v>10070.817970851742</v>
      </c>
      <c r="AM158" s="1498">
        <f t="shared" si="121"/>
        <v>570.35097333802878</v>
      </c>
      <c r="AN158" s="1498">
        <f t="shared" si="122"/>
        <v>25725.071262263598</v>
      </c>
      <c r="AO158" s="1563">
        <f t="shared" si="123"/>
        <v>0</v>
      </c>
    </row>
    <row r="159" spans="1:41">
      <c r="A159" s="873">
        <f>'Input data'!A139</f>
        <v>2039</v>
      </c>
      <c r="B159" s="1551">
        <f>'Input data'!B139</f>
        <v>70.856554082712819</v>
      </c>
      <c r="C159" s="1550">
        <f>'Input data'!C139</f>
        <v>6520.8289920741563</v>
      </c>
      <c r="D159" s="1550">
        <f>'Input data'!D139</f>
        <v>16226202.836425532</v>
      </c>
      <c r="E159" s="1508">
        <f>'Input data'!J139*C159</f>
        <v>78452.391128290663</v>
      </c>
      <c r="F159" s="1509">
        <f>'Input data'!L139</f>
        <v>94678.593964716187</v>
      </c>
      <c r="G159" s="1509">
        <f t="shared" si="133"/>
        <v>24823.692937269236</v>
      </c>
      <c r="H159" s="1509">
        <f t="shared" si="125"/>
        <v>35420.364398587204</v>
      </c>
      <c r="I159" s="1511">
        <f t="shared" si="99"/>
        <v>16226.202836425531</v>
      </c>
      <c r="J159" s="1504">
        <f t="shared" si="132"/>
        <v>0.2</v>
      </c>
      <c r="K159" s="1512">
        <f t="shared" si="126"/>
        <v>2246.5544767166443</v>
      </c>
      <c r="L159" s="1512">
        <f t="shared" si="101"/>
        <v>0</v>
      </c>
      <c r="M159" s="1509">
        <f t="shared" si="127"/>
        <v>2246.5544767166443</v>
      </c>
      <c r="N159" s="1454">
        <f t="shared" si="131"/>
        <v>0.5</v>
      </c>
      <c r="O159" s="1511">
        <f t="shared" si="102"/>
        <v>751.91700000000026</v>
      </c>
      <c r="P159" s="1692">
        <f t="shared" si="130"/>
        <v>2998.4714767166447</v>
      </c>
      <c r="Q159" s="1364">
        <f t="shared" si="103"/>
        <v>57245.585859139799</v>
      </c>
      <c r="R159" s="1364">
        <f t="shared" si="128"/>
        <v>32421.892921870563</v>
      </c>
      <c r="S159" s="1091">
        <f t="shared" si="104"/>
        <v>0.73245608552278707</v>
      </c>
      <c r="T159" s="135" t="str">
        <f t="shared" si="105"/>
        <v>Yes</v>
      </c>
      <c r="U159" s="1091">
        <f t="shared" si="106"/>
        <v>0.73245608552278707</v>
      </c>
      <c r="V159" s="1494">
        <f t="shared" si="97"/>
        <v>62256.701042845656</v>
      </c>
      <c r="W159" s="1491">
        <f t="shared" si="98"/>
        <v>0.34244163927860161</v>
      </c>
      <c r="X159" s="527">
        <f t="shared" si="107"/>
        <v>24823.692937269239</v>
      </c>
      <c r="Y159" s="1509">
        <f t="shared" si="108"/>
        <v>9527.5622220133791</v>
      </c>
      <c r="Z159" s="528">
        <f t="shared" si="109"/>
        <v>4297.1410898359891</v>
      </c>
      <c r="AA159" s="528">
        <f t="shared" si="110"/>
        <v>0</v>
      </c>
      <c r="AB159" s="528">
        <f t="shared" si="111"/>
        <v>23608.304793727042</v>
      </c>
      <c r="AC159" s="528">
        <f t="shared" si="112"/>
        <v>62256.701042845656</v>
      </c>
      <c r="AD159" s="1487">
        <f t="shared" si="113"/>
        <v>0</v>
      </c>
      <c r="AE159" s="1504">
        <f t="shared" si="114"/>
        <v>0.39873126139763393</v>
      </c>
      <c r="AF159" s="1504">
        <f t="shared" si="115"/>
        <v>0.15303673439838097</v>
      </c>
      <c r="AG159" s="1504">
        <f t="shared" si="116"/>
        <v>6.9022948820861157E-2</v>
      </c>
      <c r="AH159" s="1504">
        <f t="shared" si="129"/>
        <v>0</v>
      </c>
      <c r="AI159" s="1504">
        <f t="shared" si="117"/>
        <v>0.37920905538312383</v>
      </c>
      <c r="AJ159" s="1541">
        <f t="shared" si="118"/>
        <v>0.99999999999999978</v>
      </c>
      <c r="AK159" s="1555">
        <f t="shared" si="119"/>
        <v>12980.962269140424</v>
      </c>
      <c r="AL159" s="1498">
        <f t="shared" si="120"/>
        <v>11202.332503882539</v>
      </c>
      <c r="AM159" s="1498">
        <f t="shared" si="121"/>
        <v>640.39816424627156</v>
      </c>
      <c r="AN159" s="1498">
        <f t="shared" si="122"/>
        <v>24823.692937269236</v>
      </c>
      <c r="AO159" s="1563">
        <f t="shared" si="123"/>
        <v>0</v>
      </c>
    </row>
    <row r="160" spans="1:41" s="1" customFormat="1">
      <c r="A160" s="873">
        <f>'Input data'!A140</f>
        <v>2040</v>
      </c>
      <c r="B160" s="1551">
        <f>'Input data'!B140</f>
        <v>71.375305999999995</v>
      </c>
      <c r="C160" s="1550">
        <f>'Input data'!C140</f>
        <v>6710.9821193375428</v>
      </c>
      <c r="D160" s="1550">
        <f>'Input data'!D140</f>
        <v>13597527.775258772</v>
      </c>
      <c r="E160" s="1508">
        <f>'Input data'!J140*C160</f>
        <v>80740.132078477691</v>
      </c>
      <c r="F160" s="1509">
        <f>'Input data'!L140</f>
        <v>94337.659853736463</v>
      </c>
      <c r="G160" s="1509">
        <f>G137*(1-$C$5)</f>
        <v>23953.89792166539</v>
      </c>
      <c r="H160" s="1509">
        <f t="shared" si="125"/>
        <v>35135.995403877489</v>
      </c>
      <c r="I160" s="1511">
        <f t="shared" si="99"/>
        <v>13597.527775258772</v>
      </c>
      <c r="J160" s="1504">
        <f t="shared" si="132"/>
        <v>0.2</v>
      </c>
      <c r="K160" s="1512">
        <f t="shared" si="126"/>
        <v>1882.6084699996165</v>
      </c>
      <c r="L160" s="1512">
        <f t="shared" si="101"/>
        <v>0</v>
      </c>
      <c r="M160" s="1509">
        <f t="shared" si="127"/>
        <v>1882.6084699996165</v>
      </c>
      <c r="N160" s="1454">
        <f t="shared" si="131"/>
        <v>0.5</v>
      </c>
      <c r="O160" s="1511">
        <f t="shared" si="102"/>
        <v>751.91700000000026</v>
      </c>
      <c r="P160" s="1692">
        <f t="shared" si="130"/>
        <v>2634.5254699996167</v>
      </c>
      <c r="Q160" s="1364">
        <f t="shared" si="103"/>
        <v>56455.367855543263</v>
      </c>
      <c r="R160" s="1364">
        <f t="shared" si="128"/>
        <v>32501.469933877874</v>
      </c>
      <c r="S160" s="1091">
        <f t="shared" si="104"/>
        <v>0.71310580905526444</v>
      </c>
      <c r="T160" s="135" t="str">
        <f t="shared" si="105"/>
        <v>Yes</v>
      </c>
      <c r="U160" s="1091">
        <f t="shared" si="106"/>
        <v>0.71310580905526444</v>
      </c>
      <c r="V160" s="1494">
        <f t="shared" si="97"/>
        <v>61836.189919858596</v>
      </c>
      <c r="W160" s="1491">
        <f t="shared" si="98"/>
        <v>0.34452274928452731</v>
      </c>
      <c r="X160" s="527">
        <f t="shared" si="107"/>
        <v>23953.897921665382</v>
      </c>
      <c r="Y160" s="1509">
        <f t="shared" si="108"/>
        <v>9185.0252526321055</v>
      </c>
      <c r="Z160" s="528">
        <f t="shared" si="109"/>
        <v>4400.5229525333853</v>
      </c>
      <c r="AA160" s="528">
        <f t="shared" si="110"/>
        <v>0</v>
      </c>
      <c r="AB160" s="528">
        <f t="shared" si="111"/>
        <v>24296.743793027723</v>
      </c>
      <c r="AC160" s="528">
        <f t="shared" si="112"/>
        <v>61836.189919858596</v>
      </c>
      <c r="AD160" s="1487">
        <f t="shared" si="113"/>
        <v>0</v>
      </c>
      <c r="AE160" s="1504">
        <f t="shared" si="114"/>
        <v>0.38737667946085119</v>
      </c>
      <c r="AF160" s="1504">
        <f t="shared" si="115"/>
        <v>0.14853802060793447</v>
      </c>
      <c r="AG160" s="1504">
        <f t="shared" si="116"/>
        <v>7.11641994475498E-2</v>
      </c>
      <c r="AH160" s="1504">
        <f t="shared" si="129"/>
        <v>0</v>
      </c>
      <c r="AI160" s="1504">
        <f t="shared" si="117"/>
        <v>0.39292110048366452</v>
      </c>
      <c r="AJ160" s="1541">
        <f t="shared" si="118"/>
        <v>1</v>
      </c>
      <c r="AK160" s="1555">
        <f t="shared" si="119"/>
        <v>10878.022220207016</v>
      </c>
      <c r="AL160" s="1498">
        <f t="shared" si="120"/>
        <v>12362.844520978539</v>
      </c>
      <c r="AM160" s="1498">
        <f t="shared" si="121"/>
        <v>713.03118047982548</v>
      </c>
      <c r="AN160" s="1498">
        <f t="shared" si="122"/>
        <v>23953.897921665382</v>
      </c>
      <c r="AO160" s="1563">
        <f t="shared" si="123"/>
        <v>0</v>
      </c>
    </row>
    <row r="161" spans="1:41">
      <c r="A161" s="873">
        <f>'Input data'!A141</f>
        <v>2041</v>
      </c>
      <c r="B161" s="1551">
        <f>'Input data'!B141</f>
        <v>71.818612994947316</v>
      </c>
      <c r="C161" s="1550">
        <f>'Input data'!C141</f>
        <v>6920.8570404241891</v>
      </c>
      <c r="D161" s="1550">
        <f>'Input data'!D141</f>
        <v>11135124.826855309</v>
      </c>
      <c r="E161" s="1508">
        <f>'Input data'!J141*C161</f>
        <v>83265.146829994948</v>
      </c>
      <c r="F161" s="1509">
        <f>'Input data'!L141</f>
        <v>94400.271656850266</v>
      </c>
      <c r="G161" s="1509">
        <f>$G$160*(1+((($G$170/$G$160)^(1/($A$170-$A$160)))-1))^(A161-$A$160)</f>
        <v>22650.218174049241</v>
      </c>
      <c r="H161" s="1509">
        <f t="shared" si="125"/>
        <v>35577.698977942287</v>
      </c>
      <c r="I161" s="1511">
        <f t="shared" si="99"/>
        <v>11135.12482685531</v>
      </c>
      <c r="J161" s="1504">
        <f t="shared" si="132"/>
        <v>0.2</v>
      </c>
      <c r="K161" s="1512">
        <f t="shared" si="126"/>
        <v>1541.6832133032267</v>
      </c>
      <c r="L161" s="1512">
        <f t="shared" si="101"/>
        <v>0</v>
      </c>
      <c r="M161" s="1509">
        <f t="shared" si="127"/>
        <v>1541.6832133032267</v>
      </c>
      <c r="N161" s="1454">
        <f t="shared" si="131"/>
        <v>0.5</v>
      </c>
      <c r="O161" s="1511">
        <f t="shared" si="102"/>
        <v>751.91700000000026</v>
      </c>
      <c r="P161" s="1692">
        <f t="shared" si="130"/>
        <v>2293.6002133032271</v>
      </c>
      <c r="Q161" s="1364">
        <f t="shared" si="103"/>
        <v>55934.316938688295</v>
      </c>
      <c r="R161" s="1364">
        <f t="shared" si="128"/>
        <v>33284.098764639057</v>
      </c>
      <c r="S161" s="1091">
        <f t="shared" si="104"/>
        <v>0.70777750866066402</v>
      </c>
      <c r="T161" s="135" t="str">
        <f t="shared" si="105"/>
        <v>Yes</v>
      </c>
      <c r="U161" s="1091">
        <f t="shared" si="106"/>
        <v>0.70777750866066402</v>
      </c>
      <c r="V161" s="1494">
        <f t="shared" si="97"/>
        <v>61116.172892211209</v>
      </c>
      <c r="W161" s="1491">
        <f t="shared" si="98"/>
        <v>0.35258477735772231</v>
      </c>
      <c r="X161" s="527">
        <f t="shared" si="107"/>
        <v>22650.218174049241</v>
      </c>
      <c r="Y161" s="1509">
        <f t="shared" si="108"/>
        <v>8894.7431507709243</v>
      </c>
      <c r="Z161" s="528">
        <f t="shared" si="109"/>
        <v>4514.6270989529849</v>
      </c>
      <c r="AA161" s="528">
        <f t="shared" si="110"/>
        <v>0</v>
      </c>
      <c r="AB161" s="528">
        <f t="shared" si="111"/>
        <v>25056.584468438061</v>
      </c>
      <c r="AC161" s="528">
        <f t="shared" si="112"/>
        <v>61116.172892211209</v>
      </c>
      <c r="AD161" s="1487">
        <f t="shared" si="113"/>
        <v>0</v>
      </c>
      <c r="AE161" s="1504">
        <f t="shared" si="114"/>
        <v>0.37060923651087846</v>
      </c>
      <c r="AF161" s="1504">
        <f t="shared" si="115"/>
        <v>0.14553828765518942</v>
      </c>
      <c r="AG161" s="1504">
        <f t="shared" si="116"/>
        <v>7.3869597609053497E-2</v>
      </c>
      <c r="AH161" s="1504">
        <f t="shared" si="129"/>
        <v>0</v>
      </c>
      <c r="AI161" s="1504">
        <f t="shared" si="117"/>
        <v>0.40998287822487872</v>
      </c>
      <c r="AJ161" s="1541">
        <f t="shared" si="118"/>
        <v>1.0000000000000002</v>
      </c>
      <c r="AK161" s="1555">
        <f t="shared" si="119"/>
        <v>8908.0998614842465</v>
      </c>
      <c r="AL161" s="1498">
        <f t="shared" si="120"/>
        <v>12986.259843322039</v>
      </c>
      <c r="AM161" s="1498">
        <f t="shared" si="121"/>
        <v>755.85846924295208</v>
      </c>
      <c r="AN161" s="1498">
        <f t="shared" si="122"/>
        <v>22650.218174049238</v>
      </c>
      <c r="AO161" s="1563">
        <f t="shared" si="123"/>
        <v>0</v>
      </c>
    </row>
    <row r="162" spans="1:41">
      <c r="A162" s="873">
        <f>'Input data'!A142</f>
        <v>2042</v>
      </c>
      <c r="B162" s="1551">
        <f>'Input data'!B142</f>
        <v>72.264673338395411</v>
      </c>
      <c r="C162" s="1550">
        <f>'Input data'!C142</f>
        <v>7114.4180841945599</v>
      </c>
      <c r="D162" s="1550">
        <f>'Input data'!D142</f>
        <v>8672721.8784518428</v>
      </c>
      <c r="E162" s="1508">
        <f>'Input data'!J142*C162</f>
        <v>85593.88857916987</v>
      </c>
      <c r="F162" s="1509">
        <f>'Input data'!L142</f>
        <v>94266.610457621719</v>
      </c>
      <c r="G162" s="1509">
        <f t="shared" ref="G162:G169" si="134">$G$160*(1+((($G$170/$G$160)^(1/($A$170-$A$160)))-1))^(A162-$A$160)</f>
        <v>21417.490590039302</v>
      </c>
      <c r="H162" s="1509">
        <f t="shared" si="125"/>
        <v>35835.827542244195</v>
      </c>
      <c r="I162" s="1511">
        <f t="shared" si="99"/>
        <v>8672.7218784518427</v>
      </c>
      <c r="J162" s="1504">
        <f t="shared" si="132"/>
        <v>0.2</v>
      </c>
      <c r="K162" s="1512">
        <f t="shared" si="126"/>
        <v>1200.7579566068364</v>
      </c>
      <c r="L162" s="1512">
        <f t="shared" si="101"/>
        <v>0</v>
      </c>
      <c r="M162" s="1509">
        <f t="shared" si="127"/>
        <v>1200.7579566068364</v>
      </c>
      <c r="N162" s="1454">
        <f t="shared" si="131"/>
        <v>0.5</v>
      </c>
      <c r="O162" s="1511">
        <f t="shared" si="102"/>
        <v>751.91700000000026</v>
      </c>
      <c r="P162" s="1692">
        <f t="shared" si="130"/>
        <v>1952.6749566068365</v>
      </c>
      <c r="Q162" s="1364">
        <f t="shared" si="103"/>
        <v>55300.643175676654</v>
      </c>
      <c r="R162" s="1364">
        <f t="shared" si="128"/>
        <v>33883.152585637348</v>
      </c>
      <c r="S162" s="1091">
        <f t="shared" si="104"/>
        <v>0.70060845976703801</v>
      </c>
      <c r="T162" s="135" t="str">
        <f t="shared" si="105"/>
        <v>Yes</v>
      </c>
      <c r="U162" s="1091">
        <f t="shared" si="106"/>
        <v>0.70060845976703801</v>
      </c>
      <c r="V162" s="1494">
        <f t="shared" si="97"/>
        <v>60383.45787198437</v>
      </c>
      <c r="W162" s="1491">
        <f t="shared" si="98"/>
        <v>0.35943959819017557</v>
      </c>
      <c r="X162" s="527">
        <f t="shared" si="107"/>
        <v>21417.490590039306</v>
      </c>
      <c r="Y162" s="1509">
        <f t="shared" si="108"/>
        <v>8588.7438717132245</v>
      </c>
      <c r="Z162" s="528">
        <f t="shared" si="109"/>
        <v>4619.8617671313086</v>
      </c>
      <c r="AA162" s="528">
        <f t="shared" si="110"/>
        <v>0</v>
      </c>
      <c r="AB162" s="528">
        <f t="shared" si="111"/>
        <v>25757.361643100532</v>
      </c>
      <c r="AC162" s="528">
        <f t="shared" si="112"/>
        <v>60383.45787198437</v>
      </c>
      <c r="AD162" s="1487">
        <f t="shared" si="113"/>
        <v>0</v>
      </c>
      <c r="AE162" s="1504">
        <f t="shared" si="114"/>
        <v>0.35469135662030721</v>
      </c>
      <c r="AF162" s="1504">
        <f t="shared" si="115"/>
        <v>0.14223670148075562</v>
      </c>
      <c r="AG162" s="1504">
        <f t="shared" si="116"/>
        <v>7.650873152918175E-2</v>
      </c>
      <c r="AH162" s="1504">
        <f t="shared" si="129"/>
        <v>0</v>
      </c>
      <c r="AI162" s="1504">
        <f t="shared" si="117"/>
        <v>0.42656321036975542</v>
      </c>
      <c r="AJ162" s="1541">
        <f t="shared" si="118"/>
        <v>1</v>
      </c>
      <c r="AK162" s="1555">
        <f t="shared" si="119"/>
        <v>6938.177502761474</v>
      </c>
      <c r="AL162" s="1498">
        <f t="shared" si="120"/>
        <v>13676.956915432807</v>
      </c>
      <c r="AM162" s="1498">
        <f t="shared" si="121"/>
        <v>802.35617184501996</v>
      </c>
      <c r="AN162" s="1498">
        <f t="shared" si="122"/>
        <v>21417.490590039299</v>
      </c>
      <c r="AO162" s="1563">
        <f t="shared" si="123"/>
        <v>0</v>
      </c>
    </row>
    <row r="163" spans="1:41">
      <c r="A163" s="873">
        <f>'Input data'!A143</f>
        <v>2043</v>
      </c>
      <c r="B163" s="1551">
        <f>'Input data'!B143</f>
        <v>72.713504131197794</v>
      </c>
      <c r="C163" s="1550">
        <f>'Input data'!C143</f>
        <v>7308.347295357521</v>
      </c>
      <c r="D163" s="1550">
        <f>'Input data'!D143</f>
        <v>6210318.9300483763</v>
      </c>
      <c r="E163" s="1508">
        <f>'Input data'!J143*C163</f>
        <v>87927.059767043364</v>
      </c>
      <c r="F163" s="1509">
        <f>'Input data'!L143</f>
        <v>94137.378697091743</v>
      </c>
      <c r="G163" s="1509">
        <f t="shared" si="134"/>
        <v>20251.853631148377</v>
      </c>
      <c r="H163" s="1509">
        <f t="shared" si="125"/>
        <v>36029.407124888778</v>
      </c>
      <c r="I163" s="1511">
        <f t="shared" si="99"/>
        <v>6210.3189300483764</v>
      </c>
      <c r="J163" s="1504">
        <f t="shared" si="132"/>
        <v>0.2</v>
      </c>
      <c r="K163" s="1512">
        <f t="shared" si="126"/>
        <v>859.83269991044597</v>
      </c>
      <c r="L163" s="1512">
        <f t="shared" si="101"/>
        <v>0</v>
      </c>
      <c r="M163" s="1509">
        <f t="shared" si="127"/>
        <v>859.83269991044597</v>
      </c>
      <c r="N163" s="1454">
        <f t="shared" si="131"/>
        <v>0.5</v>
      </c>
      <c r="O163" s="1511">
        <f t="shared" si="102"/>
        <v>751.91700000000026</v>
      </c>
      <c r="P163" s="1692">
        <f t="shared" si="130"/>
        <v>1611.7496999104462</v>
      </c>
      <c r="Q163" s="1364">
        <f t="shared" si="103"/>
        <v>54669.511056126707</v>
      </c>
      <c r="R163" s="1364">
        <f t="shared" si="128"/>
        <v>34417.65742497833</v>
      </c>
      <c r="S163" s="1091">
        <f t="shared" si="104"/>
        <v>0.69249069854203626</v>
      </c>
      <c r="T163" s="135" t="str">
        <f t="shared" si="105"/>
        <v>Yes</v>
      </c>
      <c r="U163" s="1091">
        <f t="shared" si="106"/>
        <v>0.69249069854203626</v>
      </c>
      <c r="V163" s="1494">
        <f t="shared" si="97"/>
        <v>59719.72127211342</v>
      </c>
      <c r="W163" s="1491">
        <f t="shared" si="98"/>
        <v>0.36561096029373097</v>
      </c>
      <c r="X163" s="527">
        <f t="shared" si="107"/>
        <v>20251.853631148373</v>
      </c>
      <c r="Y163" s="1509">
        <f t="shared" si="108"/>
        <v>8283.0992938730942</v>
      </c>
      <c r="Z163" s="528">
        <f t="shared" si="109"/>
        <v>4725.2965994162041</v>
      </c>
      <c r="AA163" s="528">
        <f t="shared" si="110"/>
        <v>0</v>
      </c>
      <c r="AB163" s="528">
        <f t="shared" si="111"/>
        <v>26459.471747675743</v>
      </c>
      <c r="AC163" s="528">
        <f t="shared" si="112"/>
        <v>59719.72127211342</v>
      </c>
      <c r="AD163" s="1487">
        <f t="shared" si="113"/>
        <v>0</v>
      </c>
      <c r="AE163" s="1504">
        <f t="shared" si="114"/>
        <v>0.33911500589345733</v>
      </c>
      <c r="AF163" s="1504">
        <f t="shared" si="115"/>
        <v>0.13869956385313792</v>
      </c>
      <c r="AG163" s="1504">
        <f t="shared" si="116"/>
        <v>7.912455883518528E-2</v>
      </c>
      <c r="AH163" s="1504">
        <f t="shared" si="129"/>
        <v>0</v>
      </c>
      <c r="AI163" s="1504">
        <f t="shared" si="117"/>
        <v>0.44306087141821937</v>
      </c>
      <c r="AJ163" s="1541">
        <f t="shared" si="118"/>
        <v>0.99999999999999989</v>
      </c>
      <c r="AK163" s="1555">
        <f t="shared" si="119"/>
        <v>4968.2551440387015</v>
      </c>
      <c r="AL163" s="1498">
        <f t="shared" si="120"/>
        <v>14430.720154939199</v>
      </c>
      <c r="AM163" s="1498">
        <f t="shared" si="121"/>
        <v>852.87833217047034</v>
      </c>
      <c r="AN163" s="1498">
        <f t="shared" si="122"/>
        <v>20251.853631148369</v>
      </c>
      <c r="AO163" s="1563">
        <f t="shared" si="123"/>
        <v>0</v>
      </c>
    </row>
    <row r="164" spans="1:41">
      <c r="A164" s="873">
        <f>'Input data'!A144</f>
        <v>2044</v>
      </c>
      <c r="B164" s="1551">
        <f>'Input data'!B144</f>
        <v>73.165122580420132</v>
      </c>
      <c r="C164" s="1550">
        <f>'Input data'!C144</f>
        <v>7506.518596985471</v>
      </c>
      <c r="D164" s="1550">
        <f>'Input data'!D144</f>
        <v>3747915.9816449117</v>
      </c>
      <c r="E164" s="1508">
        <f>'Input data'!J144*C164</f>
        <v>90311.267738854192</v>
      </c>
      <c r="F164" s="1509">
        <f>'Input data'!L144</f>
        <v>94059.183720499102</v>
      </c>
      <c r="G164" s="1509">
        <f t="shared" si="134"/>
        <v>19149.655921324487</v>
      </c>
      <c r="H164" s="1509">
        <f t="shared" si="125"/>
        <v>36188.832728458176</v>
      </c>
      <c r="I164" s="1511">
        <f t="shared" si="99"/>
        <v>3747.9159816449119</v>
      </c>
      <c r="J164" s="1504">
        <f t="shared" si="132"/>
        <v>0.2</v>
      </c>
      <c r="K164" s="1512">
        <f t="shared" si="126"/>
        <v>518.90744321405589</v>
      </c>
      <c r="L164" s="1512">
        <f t="shared" si="101"/>
        <v>0</v>
      </c>
      <c r="M164" s="1509">
        <f t="shared" si="127"/>
        <v>518.90744321405589</v>
      </c>
      <c r="N164" s="1454">
        <f t="shared" si="131"/>
        <v>0.5</v>
      </c>
      <c r="O164" s="1511">
        <f t="shared" si="102"/>
        <v>751.91700000000026</v>
      </c>
      <c r="P164" s="1692">
        <f t="shared" si="130"/>
        <v>1270.8244432140561</v>
      </c>
      <c r="Q164" s="1364">
        <f t="shared" si="103"/>
        <v>54067.66420656861</v>
      </c>
      <c r="R164" s="1364">
        <f t="shared" si="128"/>
        <v>34918.008285244126</v>
      </c>
      <c r="S164" s="1091">
        <f t="shared" si="104"/>
        <v>0.68373732949855837</v>
      </c>
      <c r="T164" s="135" t="str">
        <f t="shared" si="105"/>
        <v>Yes</v>
      </c>
      <c r="U164" s="1091">
        <f t="shared" si="106"/>
        <v>0.68373732949855837</v>
      </c>
      <c r="V164" s="1494">
        <f>AC164</f>
        <v>59141.175435254991</v>
      </c>
      <c r="W164" s="1491">
        <f t="shared" si="98"/>
        <v>0.37123443882954021</v>
      </c>
      <c r="X164" s="527">
        <f t="shared" si="107"/>
        <v>19149.655921324487</v>
      </c>
      <c r="Y164" s="1509">
        <f t="shared" si="108"/>
        <v>7981.5416468238018</v>
      </c>
      <c r="Z164" s="528">
        <f t="shared" si="109"/>
        <v>4833.0377582933197</v>
      </c>
      <c r="AA164" s="528">
        <f t="shared" si="110"/>
        <v>0</v>
      </c>
      <c r="AB164" s="528">
        <f t="shared" si="111"/>
        <v>27176.940108813385</v>
      </c>
      <c r="AC164" s="528">
        <f t="shared" si="112"/>
        <v>59141.175435254991</v>
      </c>
      <c r="AD164" s="1487">
        <f t="shared" si="113"/>
        <v>0</v>
      </c>
      <c r="AE164" s="1504">
        <f t="shared" si="114"/>
        <v>0.32379565979862274</v>
      </c>
      <c r="AF164" s="1504">
        <f t="shared" si="115"/>
        <v>0.13495744019429615</v>
      </c>
      <c r="AG164" s="1504">
        <f t="shared" si="116"/>
        <v>8.1720353420846437E-2</v>
      </c>
      <c r="AH164" s="1504">
        <f t="shared" si="129"/>
        <v>0</v>
      </c>
      <c r="AI164" s="1504">
        <f t="shared" si="117"/>
        <v>0.45952654658623476</v>
      </c>
      <c r="AJ164" s="1541">
        <f t="shared" si="118"/>
        <v>1.0000000000000002</v>
      </c>
      <c r="AK164" s="1555">
        <f t="shared" si="119"/>
        <v>2998.3327853159294</v>
      </c>
      <c r="AL164" s="1498">
        <f t="shared" si="120"/>
        <v>15243.934348099368</v>
      </c>
      <c r="AM164" s="1498">
        <f t="shared" si="121"/>
        <v>907.38878790918523</v>
      </c>
      <c r="AN164" s="1498">
        <f t="shared" si="122"/>
        <v>19149.655921324484</v>
      </c>
      <c r="AO164" s="1563">
        <f t="shared" si="123"/>
        <v>0</v>
      </c>
    </row>
    <row r="165" spans="1:41">
      <c r="A165" s="873">
        <f>'Input data'!A145</f>
        <v>2045</v>
      </c>
      <c r="B165" s="1551">
        <f>'Input data'!B145</f>
        <v>73.619545999999971</v>
      </c>
      <c r="C165" s="1550">
        <f>'Input data'!C145</f>
        <v>7710.3236783048815</v>
      </c>
      <c r="D165" s="1550">
        <f>'Input data'!D145</f>
        <v>1285513.0332414466</v>
      </c>
      <c r="E165" s="1508">
        <f>'Input data'!J145*C165</f>
        <v>92763.255971184393</v>
      </c>
      <c r="F165" s="1509">
        <f>'Input data'!L145</f>
        <v>94048.769004425834</v>
      </c>
      <c r="G165" s="1509">
        <f t="shared" si="134"/>
        <v>18107.444808958157</v>
      </c>
      <c r="H165" s="1509">
        <f t="shared" si="125"/>
        <v>36327.164530633832</v>
      </c>
      <c r="I165" s="1511">
        <f t="shared" si="99"/>
        <v>1285.5130332414467</v>
      </c>
      <c r="J165" s="1504">
        <f t="shared" si="132"/>
        <v>0.2</v>
      </c>
      <c r="K165" s="1512">
        <f t="shared" si="126"/>
        <v>177.98218651766564</v>
      </c>
      <c r="L165" s="1512">
        <f t="shared" si="101"/>
        <v>0</v>
      </c>
      <c r="M165" s="1509">
        <f t="shared" si="127"/>
        <v>177.98218651766564</v>
      </c>
      <c r="N165" s="1454">
        <f t="shared" si="131"/>
        <v>0.5</v>
      </c>
      <c r="O165" s="1511">
        <f t="shared" si="102"/>
        <v>751.91700000000026</v>
      </c>
      <c r="P165" s="1692">
        <f t="shared" si="130"/>
        <v>929.89918651766584</v>
      </c>
      <c r="Q165" s="1364">
        <f t="shared" si="103"/>
        <v>53504.710153074324</v>
      </c>
      <c r="R165" s="1364">
        <f t="shared" si="128"/>
        <v>35397.265344116167</v>
      </c>
      <c r="S165" s="1091">
        <f t="shared" si="104"/>
        <v>0.67453813490309056</v>
      </c>
      <c r="T165" s="135" t="str">
        <f t="shared" si="105"/>
        <v>Yes</v>
      </c>
      <c r="U165" s="1091">
        <f t="shared" si="106"/>
        <v>0.67453813490309056</v>
      </c>
      <c r="V165" s="1494">
        <f t="shared" si="97"/>
        <v>58651.503660309689</v>
      </c>
      <c r="W165" s="1491">
        <f t="shared" si="98"/>
        <v>0.37637138389818148</v>
      </c>
      <c r="X165" s="527">
        <f t="shared" si="107"/>
        <v>18107.444808958157</v>
      </c>
      <c r="Y165" s="1509">
        <f t="shared" si="108"/>
        <v>7685.4117170473683</v>
      </c>
      <c r="Z165" s="528">
        <f t="shared" si="109"/>
        <v>4943.8418730466392</v>
      </c>
      <c r="AA165" s="528">
        <f t="shared" si="110"/>
        <v>0</v>
      </c>
      <c r="AB165" s="528">
        <f t="shared" si="111"/>
        <v>27914.805261257523</v>
      </c>
      <c r="AC165" s="528">
        <f t="shared" si="112"/>
        <v>58651.503660309689</v>
      </c>
      <c r="AD165" s="1487">
        <f t="shared" si="113"/>
        <v>0</v>
      </c>
      <c r="AE165" s="1504">
        <f t="shared" si="114"/>
        <v>0.30872942173538381</v>
      </c>
      <c r="AF165" s="1504">
        <f t="shared" si="115"/>
        <v>0.13103520348870776</v>
      </c>
      <c r="AG165" s="1504">
        <f t="shared" si="116"/>
        <v>8.4291818018507297E-2</v>
      </c>
      <c r="AH165" s="1504">
        <f t="shared" si="129"/>
        <v>0</v>
      </c>
      <c r="AI165" s="1504">
        <f t="shared" si="117"/>
        <v>0.47594355675740113</v>
      </c>
      <c r="AJ165" s="1541">
        <f t="shared" si="118"/>
        <v>1</v>
      </c>
      <c r="AK165" s="1555">
        <f t="shared" si="119"/>
        <v>1028.4104265931574</v>
      </c>
      <c r="AL165" s="1498">
        <f t="shared" si="120"/>
        <v>16113.255368428505</v>
      </c>
      <c r="AM165" s="1498">
        <f t="shared" si="121"/>
        <v>965.77901393648995</v>
      </c>
      <c r="AN165" s="1498">
        <f t="shared" si="122"/>
        <v>18107.444808958153</v>
      </c>
      <c r="AO165" s="1563">
        <f t="shared" si="123"/>
        <v>0</v>
      </c>
    </row>
    <row r="166" spans="1:41">
      <c r="A166" s="873">
        <f>'Input data'!A146</f>
        <v>2046</v>
      </c>
      <c r="B166" s="1551">
        <f>'Input data'!B146</f>
        <v>73.995362001779526</v>
      </c>
      <c r="C166" s="1550">
        <f>'Input data'!C146</f>
        <v>7937.3408756753133</v>
      </c>
      <c r="D166" s="1550">
        <f>'Input data'!D146</f>
        <v>1075389.49817775</v>
      </c>
      <c r="E166" s="1508">
        <f>'Input data'!J146*C166</f>
        <v>95494.510230819331</v>
      </c>
      <c r="F166" s="1509">
        <f>'Input data'!L146</f>
        <v>96569.899728997087</v>
      </c>
      <c r="G166" s="1509">
        <f t="shared" si="134"/>
        <v>17121.955551397077</v>
      </c>
      <c r="H166" s="1509">
        <f t="shared" si="125"/>
        <v>38682.676021537307</v>
      </c>
      <c r="I166" s="1511">
        <f t="shared" si="99"/>
        <v>1075.3894981777501</v>
      </c>
      <c r="J166" s="1504">
        <f t="shared" si="132"/>
        <v>0.2</v>
      </c>
      <c r="K166" s="1512">
        <f t="shared" si="126"/>
        <v>148.89010791371896</v>
      </c>
      <c r="L166" s="1512">
        <f t="shared" si="101"/>
        <v>0</v>
      </c>
      <c r="M166" s="1509">
        <f t="shared" si="127"/>
        <v>148.89010791371896</v>
      </c>
      <c r="N166" s="1454">
        <f t="shared" si="131"/>
        <v>0.5</v>
      </c>
      <c r="O166" s="1511">
        <f t="shared" si="102"/>
        <v>751.91700000000026</v>
      </c>
      <c r="P166" s="1692">
        <f t="shared" si="130"/>
        <v>900.80710791371916</v>
      </c>
      <c r="Q166" s="1364">
        <f t="shared" si="103"/>
        <v>54903.824465020662</v>
      </c>
      <c r="R166" s="1364">
        <f t="shared" si="128"/>
        <v>37781.868913623584</v>
      </c>
      <c r="S166" s="1091">
        <f t="shared" si="104"/>
        <v>0.69910090794742763</v>
      </c>
      <c r="T166" s="135" t="str">
        <f t="shared" si="105"/>
        <v>Yes</v>
      </c>
      <c r="U166" s="1091">
        <f t="shared" si="106"/>
        <v>0.69910090794742763</v>
      </c>
      <c r="V166" s="1494">
        <f t="shared" si="97"/>
        <v>58788.03081537351</v>
      </c>
      <c r="W166" s="1491">
        <f t="shared" si="98"/>
        <v>0.39123856418667069</v>
      </c>
      <c r="X166" s="527">
        <f t="shared" si="107"/>
        <v>17121.955551397084</v>
      </c>
      <c r="Y166" s="1509">
        <f t="shared" si="108"/>
        <v>7862.100774307467</v>
      </c>
      <c r="Z166" s="528">
        <f t="shared" si="109"/>
        <v>5067.2658790898813</v>
      </c>
      <c r="AA166" s="528">
        <f t="shared" si="110"/>
        <v>0</v>
      </c>
      <c r="AB166" s="528">
        <f t="shared" si="111"/>
        <v>28736.70861057908</v>
      </c>
      <c r="AC166" s="528">
        <f t="shared" si="112"/>
        <v>58788.03081537351</v>
      </c>
      <c r="AD166" s="1487">
        <f t="shared" si="113"/>
        <v>0</v>
      </c>
      <c r="AE166" s="1504">
        <f t="shared" si="114"/>
        <v>0.29124900619939742</v>
      </c>
      <c r="AF166" s="1504">
        <f t="shared" si="115"/>
        <v>0.13373641990150603</v>
      </c>
      <c r="AG166" s="1504">
        <f t="shared" si="116"/>
        <v>8.6195536894301844E-2</v>
      </c>
      <c r="AH166" s="1504">
        <f t="shared" si="129"/>
        <v>0</v>
      </c>
      <c r="AI166" s="1504">
        <f t="shared" si="117"/>
        <v>0.48881903700479479</v>
      </c>
      <c r="AJ166" s="1541">
        <f t="shared" si="118"/>
        <v>1</v>
      </c>
      <c r="AK166" s="1555">
        <f t="shared" si="119"/>
        <v>860.31159854220004</v>
      </c>
      <c r="AL166" s="1498">
        <f t="shared" si="120"/>
        <v>15335.801556344306</v>
      </c>
      <c r="AM166" s="1498">
        <f t="shared" si="121"/>
        <v>925.84239651057635</v>
      </c>
      <c r="AN166" s="1498">
        <f t="shared" si="122"/>
        <v>17121.955551397081</v>
      </c>
      <c r="AO166" s="1563">
        <f t="shared" si="123"/>
        <v>0</v>
      </c>
    </row>
    <row r="167" spans="1:41">
      <c r="A167" s="873">
        <f>'Input data'!A147</f>
        <v>2047</v>
      </c>
      <c r="B167" s="1551">
        <f>'Input data'!B147</f>
        <v>74.373096484110363</v>
      </c>
      <c r="C167" s="1550">
        <f>'Input data'!C147</f>
        <v>8114.689906663607</v>
      </c>
      <c r="D167" s="1550">
        <f>'Input data'!D147</f>
        <v>865265.96311405371</v>
      </c>
      <c r="E167" s="1508">
        <f>'Input data'!J147*C167</f>
        <v>97628.204514510595</v>
      </c>
      <c r="F167" s="1509">
        <f>'Input data'!L147</f>
        <v>98493.470477624651</v>
      </c>
      <c r="G167" s="1509">
        <f t="shared" si="134"/>
        <v>16190.101088088571</v>
      </c>
      <c r="H167" s="1509">
        <f t="shared" si="125"/>
        <v>40641.668549520378</v>
      </c>
      <c r="I167" s="1511">
        <f t="shared" si="99"/>
        <v>865.26596311405376</v>
      </c>
      <c r="J167" s="1504">
        <f t="shared" si="132"/>
        <v>0.2</v>
      </c>
      <c r="K167" s="1512">
        <f t="shared" si="126"/>
        <v>119.79802930977232</v>
      </c>
      <c r="L167" s="1512">
        <f t="shared" si="101"/>
        <v>0</v>
      </c>
      <c r="M167" s="1509">
        <f t="shared" si="127"/>
        <v>119.79802930977232</v>
      </c>
      <c r="N167" s="1454">
        <f t="shared" si="131"/>
        <v>0.5</v>
      </c>
      <c r="O167" s="1511">
        <f t="shared" si="102"/>
        <v>751.91700000000026</v>
      </c>
      <c r="P167" s="1692">
        <f t="shared" si="130"/>
        <v>871.7150293097726</v>
      </c>
      <c r="Q167" s="1364">
        <f t="shared" si="103"/>
        <v>55960.054608299179</v>
      </c>
      <c r="R167" s="1364">
        <f t="shared" si="128"/>
        <v>39769.953520210605</v>
      </c>
      <c r="S167" s="1091">
        <f t="shared" si="104"/>
        <v>0.71958578800528716</v>
      </c>
      <c r="T167" s="135" t="str">
        <f t="shared" si="105"/>
        <v>Yes</v>
      </c>
      <c r="U167" s="1091">
        <f t="shared" si="106"/>
        <v>0.71958578800528716</v>
      </c>
      <c r="V167" s="1494">
        <f t="shared" si="97"/>
        <v>58723.51695741406</v>
      </c>
      <c r="W167" s="1491">
        <f t="shared" si="98"/>
        <v>0.40378263987809593</v>
      </c>
      <c r="X167" s="527">
        <f t="shared" si="107"/>
        <v>16190.101088088579</v>
      </c>
      <c r="Y167" s="1509">
        <f t="shared" si="108"/>
        <v>7990.9383394348279</v>
      </c>
      <c r="Z167" s="528">
        <f t="shared" si="109"/>
        <v>5163.6864504210689</v>
      </c>
      <c r="AA167" s="528">
        <f t="shared" si="110"/>
        <v>0</v>
      </c>
      <c r="AB167" s="528">
        <f t="shared" si="111"/>
        <v>29378.791079469585</v>
      </c>
      <c r="AC167" s="528">
        <f t="shared" si="112"/>
        <v>58723.51695741406</v>
      </c>
      <c r="AD167" s="1487">
        <f t="shared" si="113"/>
        <v>0</v>
      </c>
      <c r="AE167" s="1504">
        <f t="shared" si="114"/>
        <v>0.27570046766493128</v>
      </c>
      <c r="AF167" s="1504">
        <f t="shared" si="115"/>
        <v>0.13607731201163936</v>
      </c>
      <c r="AG167" s="1504">
        <f t="shared" si="116"/>
        <v>8.7932172968552672E-2</v>
      </c>
      <c r="AH167" s="1504">
        <f t="shared" si="129"/>
        <v>0</v>
      </c>
      <c r="AI167" s="1504">
        <f t="shared" si="117"/>
        <v>0.5002900473548767</v>
      </c>
      <c r="AJ167" s="1541">
        <f t="shared" si="118"/>
        <v>1</v>
      </c>
      <c r="AK167" s="1555">
        <f t="shared" si="119"/>
        <v>692.21277049124296</v>
      </c>
      <c r="AL167" s="1498">
        <f t="shared" si="120"/>
        <v>14611.086784581888</v>
      </c>
      <c r="AM167" s="1498">
        <f t="shared" si="121"/>
        <v>886.80153301544283</v>
      </c>
      <c r="AN167" s="1498">
        <f t="shared" si="122"/>
        <v>16190.101088088575</v>
      </c>
      <c r="AO167" s="1563">
        <f t="shared" si="123"/>
        <v>0</v>
      </c>
    </row>
    <row r="168" spans="1:41">
      <c r="A168" s="873">
        <f>'Input data'!A148</f>
        <v>2048</v>
      </c>
      <c r="B168" s="1551">
        <f>'Input data'!B148</f>
        <v>74.752759240528661</v>
      </c>
      <c r="C168" s="1550">
        <f>'Input data'!C148</f>
        <v>8296.4877206561141</v>
      </c>
      <c r="D168" s="1550">
        <f>'Input data'!D148</f>
        <v>655142.42805035703</v>
      </c>
      <c r="E168" s="1508">
        <f>'Input data'!J148*C168</f>
        <v>99815.422309509362</v>
      </c>
      <c r="F168" s="1509">
        <f>'Input data'!L148</f>
        <v>100470.56473755972</v>
      </c>
      <c r="G168" s="1509">
        <f t="shared" si="134"/>
        <v>15308.962370313993</v>
      </c>
      <c r="H168" s="1509">
        <f t="shared" si="125"/>
        <v>42580.657503831222</v>
      </c>
      <c r="I168" s="1511">
        <f t="shared" si="99"/>
        <v>655.14242805035701</v>
      </c>
      <c r="J168" s="417">
        <f t="shared" si="132"/>
        <v>0.2</v>
      </c>
      <c r="K168" s="1512">
        <f t="shared" si="126"/>
        <v>90.705950705825586</v>
      </c>
      <c r="L168" s="1512">
        <f t="shared" si="101"/>
        <v>0</v>
      </c>
      <c r="M168" s="1509">
        <f t="shared" si="127"/>
        <v>90.705950705825586</v>
      </c>
      <c r="N168" s="1454">
        <f t="shared" si="131"/>
        <v>0.5</v>
      </c>
      <c r="O168" s="1511">
        <f t="shared" si="102"/>
        <v>751.91700000000026</v>
      </c>
      <c r="P168" s="1692">
        <f t="shared" si="130"/>
        <v>842.62295070582582</v>
      </c>
      <c r="Q168" s="1364">
        <f t="shared" si="103"/>
        <v>57046.996923439394</v>
      </c>
      <c r="R168" s="1364">
        <f t="shared" si="128"/>
        <v>41738.034553125399</v>
      </c>
      <c r="S168" s="1091">
        <f t="shared" si="104"/>
        <v>0.73842720597171552</v>
      </c>
      <c r="T168" s="135" t="str">
        <f t="shared" si="105"/>
        <v>Yes</v>
      </c>
      <c r="U168" s="1091">
        <f t="shared" si="106"/>
        <v>0.73842720597171552</v>
      </c>
      <c r="V168" s="1494">
        <f t="shared" si="97"/>
        <v>58732.530184434327</v>
      </c>
      <c r="W168" s="1491">
        <f t="shared" si="98"/>
        <v>0.4154254996192146</v>
      </c>
      <c r="X168" s="527">
        <f t="shared" si="107"/>
        <v>15308.962370313993</v>
      </c>
      <c r="Y168" s="1509">
        <f t="shared" si="108"/>
        <v>8124.0619678585172</v>
      </c>
      <c r="Z168" s="528">
        <f t="shared" si="109"/>
        <v>5262.5257223033932</v>
      </c>
      <c r="AA168" s="528">
        <f t="shared" si="110"/>
        <v>0</v>
      </c>
      <c r="AB168" s="528">
        <f t="shared" si="111"/>
        <v>30036.980123958427</v>
      </c>
      <c r="AC168" s="528">
        <f t="shared" si="112"/>
        <v>58732.530184434327</v>
      </c>
      <c r="AD168" s="1487">
        <f t="shared" si="113"/>
        <v>0</v>
      </c>
      <c r="AE168" s="1504">
        <f t="shared" si="114"/>
        <v>0.26065559107091341</v>
      </c>
      <c r="AF168" s="1504">
        <f t="shared" si="115"/>
        <v>0.13832303737548851</v>
      </c>
      <c r="AG168" s="1504">
        <f t="shared" si="116"/>
        <v>8.9601549699592234E-2</v>
      </c>
      <c r="AH168" s="1504">
        <f t="shared" si="129"/>
        <v>0</v>
      </c>
      <c r="AI168" s="1504">
        <f t="shared" si="117"/>
        <v>0.51141982185400592</v>
      </c>
      <c r="AJ168" s="1541">
        <f t="shared" si="118"/>
        <v>1</v>
      </c>
      <c r="AK168" s="1555">
        <f t="shared" si="119"/>
        <v>524.11394244028565</v>
      </c>
      <c r="AL168" s="1498">
        <f t="shared" si="120"/>
        <v>13934.693389002021</v>
      </c>
      <c r="AM168" s="1498">
        <f t="shared" si="121"/>
        <v>850.15503887168097</v>
      </c>
      <c r="AN168" s="1498">
        <f t="shared" si="122"/>
        <v>15308.962370313988</v>
      </c>
      <c r="AO168" s="1563">
        <f t="shared" si="123"/>
        <v>0</v>
      </c>
    </row>
    <row r="169" spans="1:41">
      <c r="A169" s="873">
        <f>'Input data'!A149</f>
        <v>2049</v>
      </c>
      <c r="B169" s="1551">
        <f>'Input data'!B149</f>
        <v>75.134360114565098</v>
      </c>
      <c r="C169" s="1550">
        <f>'Input data'!C149</f>
        <v>8472.9909282566368</v>
      </c>
      <c r="D169" s="1550">
        <f>'Input data'!D149</f>
        <v>445018.89298666047</v>
      </c>
      <c r="E169" s="1508">
        <f>'Input data'!J149*C169</f>
        <v>101938.94045343013</v>
      </c>
      <c r="F169" s="1509">
        <f>'Input data'!L149</f>
        <v>102383.95934641678</v>
      </c>
      <c r="G169" s="1509">
        <f t="shared" si="134"/>
        <v>14475.779217222871</v>
      </c>
      <c r="H169" s="1509">
        <f t="shared" si="125"/>
        <v>44435.139580145144</v>
      </c>
      <c r="I169" s="1511">
        <f t="shared" si="99"/>
        <v>445.01889298666049</v>
      </c>
      <c r="J169" s="417">
        <f t="shared" si="132"/>
        <v>0.2</v>
      </c>
      <c r="K169" s="1512">
        <f t="shared" si="126"/>
        <v>61.613872101878897</v>
      </c>
      <c r="L169" s="1512">
        <f t="shared" si="101"/>
        <v>0</v>
      </c>
      <c r="M169" s="1509">
        <f t="shared" si="127"/>
        <v>61.613872101878897</v>
      </c>
      <c r="N169" s="1454">
        <f t="shared" si="131"/>
        <v>0.5</v>
      </c>
      <c r="O169" s="1511">
        <f t="shared" si="102"/>
        <v>751.91700000000026</v>
      </c>
      <c r="P169" s="1692">
        <f t="shared" si="130"/>
        <v>813.53087210187914</v>
      </c>
      <c r="Q169" s="1364">
        <f t="shared" si="103"/>
        <v>58097.387925266135</v>
      </c>
      <c r="R169" s="1364">
        <f t="shared" si="128"/>
        <v>43621.608708043263</v>
      </c>
      <c r="S169" s="1091">
        <f t="shared" si="104"/>
        <v>0.75546538962485865</v>
      </c>
      <c r="T169" s="135" t="str">
        <f t="shared" si="105"/>
        <v>Yes</v>
      </c>
      <c r="U169" s="1091">
        <f t="shared" si="106"/>
        <v>0.75546538962485865</v>
      </c>
      <c r="V169" s="1494">
        <f t="shared" si="97"/>
        <v>58762.350638373537</v>
      </c>
      <c r="W169" s="1491">
        <f t="shared" si="98"/>
        <v>0.42605901340901708</v>
      </c>
      <c r="X169" s="527">
        <f t="shared" si="107"/>
        <v>14475.779217222869</v>
      </c>
      <c r="Y169" s="1509">
        <f t="shared" si="108"/>
        <v>8252.084646628402</v>
      </c>
      <c r="Z169" s="528">
        <f t="shared" si="109"/>
        <v>5358.4864389974309</v>
      </c>
      <c r="AA169" s="528">
        <f t="shared" si="110"/>
        <v>0</v>
      </c>
      <c r="AB169" s="528">
        <f t="shared" si="111"/>
        <v>30676.000335524837</v>
      </c>
      <c r="AC169" s="528">
        <f t="shared" si="112"/>
        <v>58762.350638373537</v>
      </c>
      <c r="AD169" s="1487">
        <f t="shared" si="113"/>
        <v>0</v>
      </c>
      <c r="AE169" s="417">
        <f t="shared" si="114"/>
        <v>0.24634445456934737</v>
      </c>
      <c r="AF169" s="417">
        <f t="shared" si="115"/>
        <v>0.14043149324321871</v>
      </c>
      <c r="AG169" s="417">
        <f t="shared" si="116"/>
        <v>9.1189109706890828E-2</v>
      </c>
      <c r="AH169" s="417">
        <f t="shared" si="129"/>
        <v>0</v>
      </c>
      <c r="AI169" s="417">
        <f t="shared" si="117"/>
        <v>0.52203494248054316</v>
      </c>
      <c r="AJ169" s="525">
        <f t="shared" si="118"/>
        <v>1</v>
      </c>
      <c r="AK169" s="1497">
        <f t="shared" si="119"/>
        <v>356.0151143893284</v>
      </c>
      <c r="AL169" s="1498">
        <f t="shared" si="120"/>
        <v>13304.165797675676</v>
      </c>
      <c r="AM169" s="1498">
        <f t="shared" si="121"/>
        <v>815.59830515786018</v>
      </c>
      <c r="AN169" s="1498">
        <f t="shared" si="122"/>
        <v>14475.779217222866</v>
      </c>
      <c r="AO169" s="1563">
        <f t="shared" si="123"/>
        <v>0</v>
      </c>
    </row>
    <row r="170" spans="1:41" ht="15.75" thickBot="1">
      <c r="A170" s="1566">
        <f>'Input data'!A150</f>
        <v>2050</v>
      </c>
      <c r="B170" s="1567">
        <f>'Input data'!B150</f>
        <v>75.517908999999989</v>
      </c>
      <c r="C170" s="1568">
        <f>'Input data'!C150</f>
        <v>8654.8011856383091</v>
      </c>
      <c r="D170" s="1568">
        <f>'Input data'!D150</f>
        <v>234895.35792296397</v>
      </c>
      <c r="E170" s="670">
        <f>'Input data'!J150*C170</f>
        <v>104126.30795541168</v>
      </c>
      <c r="F170" s="667">
        <f>'Input data'!L150</f>
        <v>104361.20331333466</v>
      </c>
      <c r="G170" s="667">
        <f>G137*(1-$C$6)</f>
        <v>13687.941669523079</v>
      </c>
      <c r="H170" s="667">
        <f t="shared" si="125"/>
        <v>46280.913267313808</v>
      </c>
      <c r="I170" s="659">
        <f t="shared" si="99"/>
        <v>234.89535792296397</v>
      </c>
      <c r="J170" s="651">
        <f t="shared" si="132"/>
        <v>0.2</v>
      </c>
      <c r="K170" s="1518">
        <f t="shared" si="126"/>
        <v>32.521793497932222</v>
      </c>
      <c r="L170" s="1518">
        <f t="shared" si="101"/>
        <v>0</v>
      </c>
      <c r="M170" s="1518">
        <f t="shared" si="127"/>
        <v>32.521793497932222</v>
      </c>
      <c r="N170" s="1522">
        <f t="shared" si="131"/>
        <v>0.5</v>
      </c>
      <c r="O170" s="1520">
        <f t="shared" si="102"/>
        <v>751.91700000000026</v>
      </c>
      <c r="P170" s="1693">
        <f t="shared" si="130"/>
        <v>784.43879349793247</v>
      </c>
      <c r="Q170" s="1485">
        <f t="shared" si="103"/>
        <v>59184.416143338953</v>
      </c>
      <c r="R170" s="1485">
        <f t="shared" si="128"/>
        <v>45496.474473815877</v>
      </c>
      <c r="S170" s="1094">
        <f t="shared" si="104"/>
        <v>0.77117243538333768</v>
      </c>
      <c r="T170" s="1105" t="str">
        <f t="shared" si="105"/>
        <v>Yes</v>
      </c>
      <c r="U170" s="1094">
        <f t="shared" si="106"/>
        <v>0.77117243538333768</v>
      </c>
      <c r="V170" s="1495">
        <f t="shared" si="97"/>
        <v>58864.728839518793</v>
      </c>
      <c r="W170" s="1492">
        <f t="shared" si="98"/>
        <v>0.43595199201773283</v>
      </c>
      <c r="X170" s="670">
        <f t="shared" si="107"/>
        <v>13687.941669523081</v>
      </c>
      <c r="Y170" s="1518">
        <f t="shared" si="108"/>
        <v>8385.2202633090001</v>
      </c>
      <c r="Z170" s="667">
        <f t="shared" si="109"/>
        <v>5457.3324760629976</v>
      </c>
      <c r="AA170" s="667">
        <f t="shared" si="110"/>
        <v>0</v>
      </c>
      <c r="AB170" s="667">
        <f t="shared" si="111"/>
        <v>31334.234430623717</v>
      </c>
      <c r="AC170" s="667">
        <f t="shared" si="112"/>
        <v>58864.728839518793</v>
      </c>
      <c r="AD170" s="1488">
        <f t="shared" si="113"/>
        <v>0</v>
      </c>
      <c r="AE170" s="651">
        <f t="shared" si="114"/>
        <v>0.23253214512955833</v>
      </c>
      <c r="AF170" s="651">
        <f t="shared" si="115"/>
        <v>0.14244897460021236</v>
      </c>
      <c r="AG170" s="651">
        <f t="shared" si="116"/>
        <v>9.2709719107704799E-2</v>
      </c>
      <c r="AH170" s="651">
        <f t="shared" si="129"/>
        <v>0</v>
      </c>
      <c r="AI170" s="651">
        <f>AB170/AC170</f>
        <v>0.53230916116252458</v>
      </c>
      <c r="AJ170" s="652">
        <f t="shared" si="118"/>
        <v>1</v>
      </c>
      <c r="AK170" s="1499">
        <f t="shared" si="119"/>
        <v>187.91628633837115</v>
      </c>
      <c r="AL170" s="1500">
        <f t="shared" si="120"/>
        <v>12716.746249270042</v>
      </c>
      <c r="AM170" s="1500">
        <f t="shared" si="121"/>
        <v>783.27913391466359</v>
      </c>
      <c r="AN170" s="1500">
        <f t="shared" si="122"/>
        <v>13687.941669523078</v>
      </c>
      <c r="AO170" s="1564">
        <f t="shared" si="123"/>
        <v>0</v>
      </c>
    </row>
    <row r="172" spans="1:41" ht="23.25">
      <c r="A172" s="686" t="s">
        <v>640</v>
      </c>
    </row>
    <row r="173" spans="1:41" ht="24" thickBot="1">
      <c r="A173" s="686"/>
    </row>
    <row r="174" spans="1:41" ht="21.6" customHeight="1" thickBot="1">
      <c r="A174" s="1823" t="s">
        <v>602</v>
      </c>
      <c r="B174" s="1824"/>
      <c r="C174" s="1824"/>
      <c r="D174" s="1825"/>
      <c r="E174" s="1826" t="s">
        <v>603</v>
      </c>
      <c r="F174" s="1827"/>
      <c r="G174" s="1827"/>
      <c r="H174" s="1827"/>
      <c r="I174" s="1828"/>
      <c r="J174" s="1829" t="s">
        <v>604</v>
      </c>
      <c r="K174" s="1830"/>
      <c r="L174" s="1831"/>
      <c r="M174" s="1832" t="s">
        <v>764</v>
      </c>
      <c r="N174" s="1834" t="s">
        <v>607</v>
      </c>
      <c r="O174" s="1835"/>
      <c r="P174" s="1813" t="s">
        <v>594</v>
      </c>
      <c r="Q174" s="1815" t="s">
        <v>772</v>
      </c>
      <c r="R174" s="1815" t="s">
        <v>775</v>
      </c>
      <c r="S174" s="1815" t="s">
        <v>774</v>
      </c>
      <c r="T174" s="1847" t="s">
        <v>776</v>
      </c>
      <c r="U174" s="1880" t="s">
        <v>777</v>
      </c>
      <c r="V174" s="1817" t="s">
        <v>767</v>
      </c>
      <c r="W174" s="1819" t="s">
        <v>768</v>
      </c>
      <c r="X174" s="1104" t="s">
        <v>592</v>
      </c>
      <c r="Y174" s="1097"/>
      <c r="Z174" s="1097"/>
      <c r="AA174" s="1097"/>
      <c r="AB174" s="1097"/>
      <c r="AC174" s="1097"/>
      <c r="AD174" s="1097"/>
      <c r="AE174" s="1097"/>
      <c r="AF174" s="1097"/>
      <c r="AG174" s="1097"/>
      <c r="AH174" s="1097"/>
      <c r="AI174" s="1097"/>
      <c r="AJ174" s="1097"/>
      <c r="AK174" s="1888" t="s">
        <v>730</v>
      </c>
      <c r="AL174" s="1889"/>
      <c r="AM174" s="1889"/>
      <c r="AN174" s="1889"/>
      <c r="AO174" s="1890"/>
    </row>
    <row r="175" spans="1:41" ht="58.9" customHeight="1">
      <c r="A175" s="1821" t="s">
        <v>217</v>
      </c>
      <c r="B175" s="703" t="s">
        <v>218</v>
      </c>
      <c r="C175" s="703" t="s">
        <v>390</v>
      </c>
      <c r="D175" s="469" t="s">
        <v>630</v>
      </c>
      <c r="E175" s="704" t="s">
        <v>786</v>
      </c>
      <c r="F175" s="704" t="s">
        <v>787</v>
      </c>
      <c r="G175" s="704" t="s">
        <v>771</v>
      </c>
      <c r="H175" s="705" t="s">
        <v>597</v>
      </c>
      <c r="I175" s="705" t="s">
        <v>626</v>
      </c>
      <c r="J175" s="1461" t="s">
        <v>326</v>
      </c>
      <c r="K175" s="1461" t="s">
        <v>765</v>
      </c>
      <c r="L175" s="706" t="s">
        <v>766</v>
      </c>
      <c r="M175" s="1833"/>
      <c r="N175" s="508" t="s">
        <v>605</v>
      </c>
      <c r="O175" s="559" t="s">
        <v>606</v>
      </c>
      <c r="P175" s="1814"/>
      <c r="Q175" s="1816"/>
      <c r="R175" s="1816"/>
      <c r="S175" s="1816"/>
      <c r="T175" s="1848"/>
      <c r="U175" s="1881"/>
      <c r="V175" s="1818"/>
      <c r="W175" s="1820"/>
      <c r="X175" s="1392" t="s">
        <v>473</v>
      </c>
      <c r="Y175" s="1393" t="s">
        <v>489</v>
      </c>
      <c r="Z175" s="1393" t="s">
        <v>376</v>
      </c>
      <c r="AA175" s="1393" t="s">
        <v>377</v>
      </c>
      <c r="AB175" s="1393" t="s">
        <v>477</v>
      </c>
      <c r="AC175" s="1393" t="s">
        <v>225</v>
      </c>
      <c r="AD175" s="713" t="s">
        <v>617</v>
      </c>
      <c r="AE175" s="1092" t="s">
        <v>473</v>
      </c>
      <c r="AF175" s="710" t="s">
        <v>489</v>
      </c>
      <c r="AG175" s="710" t="s">
        <v>376</v>
      </c>
      <c r="AH175" s="710" t="s">
        <v>377</v>
      </c>
      <c r="AI175" s="710" t="s">
        <v>477</v>
      </c>
      <c r="AJ175" s="718" t="s">
        <v>225</v>
      </c>
      <c r="AK175" s="1569" t="s">
        <v>731</v>
      </c>
      <c r="AL175" s="1570" t="s">
        <v>493</v>
      </c>
      <c r="AM175" s="1570" t="s">
        <v>732</v>
      </c>
      <c r="AN175" s="1570" t="s">
        <v>225</v>
      </c>
      <c r="AO175" s="1571" t="s">
        <v>617</v>
      </c>
    </row>
    <row r="176" spans="1:41" ht="61.15" customHeight="1" thickBot="1">
      <c r="A176" s="1822"/>
      <c r="B176" s="1124" t="s">
        <v>232</v>
      </c>
      <c r="C176" s="1125" t="s">
        <v>482</v>
      </c>
      <c r="D176" s="1126" t="s">
        <v>480</v>
      </c>
      <c r="E176" s="1127" t="s">
        <v>228</v>
      </c>
      <c r="F176" s="1127" t="s">
        <v>228</v>
      </c>
      <c r="G176" s="1127" t="s">
        <v>228</v>
      </c>
      <c r="H176" s="1479" t="str">
        <f>G176</f>
        <v>Gg</v>
      </c>
      <c r="I176" s="1127" t="s">
        <v>228</v>
      </c>
      <c r="J176" s="707" t="s">
        <v>229</v>
      </c>
      <c r="K176" s="1114" t="s">
        <v>228</v>
      </c>
      <c r="L176" s="1114" t="s">
        <v>228</v>
      </c>
      <c r="M176" s="1114" t="s">
        <v>228</v>
      </c>
      <c r="N176" s="688" t="s">
        <v>229</v>
      </c>
      <c r="O176" s="690" t="s">
        <v>228</v>
      </c>
      <c r="P176" s="1115" t="s">
        <v>228</v>
      </c>
      <c r="Q176" s="1116" t="s">
        <v>228</v>
      </c>
      <c r="R176" s="1116" t="s">
        <v>228</v>
      </c>
      <c r="S176" s="1117" t="s">
        <v>28</v>
      </c>
      <c r="T176" s="1848"/>
      <c r="U176" s="1117" t="s">
        <v>28</v>
      </c>
      <c r="V176" s="1116" t="s">
        <v>228</v>
      </c>
      <c r="W176" s="1496"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3117.5115237718705</v>
      </c>
      <c r="D177" s="957">
        <f>'Input data'!E117</f>
        <v>49995051</v>
      </c>
      <c r="E177" s="956">
        <f>'Input data'!J117*C177</f>
        <v>37506.923384615395</v>
      </c>
      <c r="F177" s="957">
        <f>'Input data'!L117</f>
        <v>87501.974384615402</v>
      </c>
      <c r="G177" s="957">
        <f>F137*B11</f>
        <v>68439.708347615408</v>
      </c>
      <c r="H177" s="677">
        <f t="shared" ref="H177:H210" si="135">E177*$B$12+I177*$E$80-G177</f>
        <v>0</v>
      </c>
      <c r="I177" s="1467">
        <f>D177/1000</f>
        <v>49995.050999999999</v>
      </c>
      <c r="J177" s="647">
        <f>$H$17</f>
        <v>6.154773859516615E-2</v>
      </c>
      <c r="K177" s="957">
        <f>(I177)*J177-(I177)*$J$137</f>
        <v>0</v>
      </c>
      <c r="L177" s="957">
        <f>(E177)*$C$12*$G$12-(E177)*$C$12*$G$12</f>
        <v>0</v>
      </c>
      <c r="M177" s="1467">
        <f>L177+K177</f>
        <v>0</v>
      </c>
      <c r="N177" s="708">
        <v>0</v>
      </c>
      <c r="O177" s="1467">
        <f>N177*$E$177*($C$85)*$B$12</f>
        <v>0</v>
      </c>
      <c r="P177" s="1480">
        <f>O177+M177</f>
        <v>0</v>
      </c>
      <c r="Q177" s="1484">
        <f>E177*$B$12+(1-$J$137)*I177-P177</f>
        <v>68439.708347615408</v>
      </c>
      <c r="R177" s="1484">
        <f>Q177-G177</f>
        <v>0</v>
      </c>
      <c r="S177" s="1218">
        <f>R177/(Q177-I177*(1-J177))</f>
        <v>0</v>
      </c>
      <c r="T177" s="1489" t="str">
        <f>IF(AND(S177&gt;=0,S177&lt;=1),"Yes","No")</f>
        <v>Yes</v>
      </c>
      <c r="U177" s="1119">
        <f>IF(S177&lt;=0,0,IF(S177&gt;=1,1,S177))</f>
        <v>0</v>
      </c>
      <c r="V177" s="1493">
        <f t="shared" ref="V177:V210" si="136">AC177</f>
        <v>87501.974384615402</v>
      </c>
      <c r="W177" s="1490">
        <f t="shared" ref="W177:W210" si="137">(1-V177/F177)</f>
        <v>0</v>
      </c>
      <c r="X177" s="956">
        <f>(E177*$B$12-O177-L177)*(1-U177)+I177*(1-J177)</f>
        <v>68439.708347615408</v>
      </c>
      <c r="Y177" s="1501">
        <f>I177*J177+E177*$G$12*$C$12</f>
        <v>6080.5670370000007</v>
      </c>
      <c r="Z177" s="1530">
        <f>($C$12*$H$12*E177+O177)</f>
        <v>1694.9190000000001</v>
      </c>
      <c r="AA177" s="1530">
        <f>$F$137*$D$11</f>
        <v>0</v>
      </c>
      <c r="AB177" s="1530">
        <f>E177*$E$12</f>
        <v>11286.78</v>
      </c>
      <c r="AC177" s="1530">
        <f>SUM(X177:AB177)</f>
        <v>87501.974384615402</v>
      </c>
      <c r="AD177" s="1486">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7">
        <f>I177*(1-$J$137)-K177</f>
        <v>46917.968670000002</v>
      </c>
      <c r="AL177" s="1498">
        <f>(E177*$C$86*$B$12-L177)*(1-U177)</f>
        <v>20017.905677615392</v>
      </c>
      <c r="AM177" s="1498">
        <f>(E177*($C$85)*$B$12-O177)*(1-U177)</f>
        <v>1503.8340000000005</v>
      </c>
      <c r="AN177" s="1498">
        <f>SUM(AK177:AM177)</f>
        <v>68439.708347615393</v>
      </c>
      <c r="AO177" s="1184">
        <f>AN177-X177</f>
        <v>0</v>
      </c>
    </row>
    <row r="178" spans="1:41">
      <c r="A178" s="127">
        <f>'Input data'!A118</f>
        <v>2018</v>
      </c>
      <c r="B178" s="662">
        <f>'Input data'!B118</f>
        <v>57.436000617299655</v>
      </c>
      <c r="C178" s="236">
        <f>'Input data'!C118</f>
        <v>3154.0370052724184</v>
      </c>
      <c r="D178" s="528">
        <f>'Input data'!E118</f>
        <v>50359792.847133137</v>
      </c>
      <c r="E178" s="527">
        <f>'Input data'!J118*C178</f>
        <v>37946.363119089809</v>
      </c>
      <c r="F178" s="528">
        <f>'Input data'!L118</f>
        <v>88306.155966222956</v>
      </c>
      <c r="G178" s="528">
        <f>$G$137*(1+((($G$150/$G$137)^(1/($A$150-$A$137)))-1))^(A178-$A$137)</f>
        <v>64886.148572305057</v>
      </c>
      <c r="H178" s="528">
        <f>E178*$B$12+I178*$E$80-G178</f>
        <v>4148.0062349192594</v>
      </c>
      <c r="I178" s="530">
        <f t="shared" ref="I178:I210" si="138">D178/1000</f>
        <v>50359.79284713314</v>
      </c>
      <c r="J178" s="417">
        <f t="shared" ref="J178:J188" si="139">$J$137*(1+((($J$150/$J$137)^(1/($A$150-$A$137)))-1))^(A178-$A$137)</f>
        <v>6.7388021833337503E-2</v>
      </c>
      <c r="K178" s="775">
        <f>(I178)*J178-(I178)*$J$137</f>
        <v>294.11545404289336</v>
      </c>
      <c r="L178" s="775">
        <f t="shared" ref="L178:L210" si="140">(E178)*$C$12*$G$12-(E178)*$C$12*$G$12</f>
        <v>0</v>
      </c>
      <c r="M178" s="530">
        <f>L178+K178</f>
        <v>294.11545404289336</v>
      </c>
      <c r="N178" s="649">
        <f>($N$142-$N$137)/($A$102-$A$97)+N177</f>
        <v>0.05</v>
      </c>
      <c r="O178" s="530">
        <f t="shared" ref="O178:O210" si="141">N178*$E$177*($C$85)*$B$12</f>
        <v>75.191700000000026</v>
      </c>
      <c r="P178" s="1481">
        <f>O178+M178</f>
        <v>369.30715404289339</v>
      </c>
      <c r="Q178" s="1364">
        <f t="shared" ref="Q178:Q210" si="142">E178*$B$12+(1-$J$137)*I178-P178</f>
        <v>68664.847653181423</v>
      </c>
      <c r="R178" s="1364">
        <f>Q178-G178</f>
        <v>3778.6990808763658</v>
      </c>
      <c r="S178" s="576">
        <f t="shared" ref="S178:S210" si="143">R178/(Q178-I178*(1-J178))</f>
        <v>0.1741440177396035</v>
      </c>
      <c r="T178" s="135" t="str">
        <f t="shared" ref="T178:T210" si="144">IF(AND(S178&gt;=0,S178&lt;=1),"Yes","No")</f>
        <v>Yes</v>
      </c>
      <c r="U178" s="1091">
        <f t="shared" ref="U178:U210" si="145">IF(S178&lt;=0,0,IF(S178&gt;=1,1,S178))</f>
        <v>0.1741440177396035</v>
      </c>
      <c r="V178" s="1494">
        <f t="shared" si="136"/>
        <v>84527.45688534659</v>
      </c>
      <c r="W178" s="1491">
        <f t="shared" si="137"/>
        <v>4.2790890844820795E-2</v>
      </c>
      <c r="X178" s="527">
        <f t="shared" ref="X178:X210" si="146">(E178*$B$12-O178-L178)*(1-U178)+I178*(1-J178)</f>
        <v>64886.148572305057</v>
      </c>
      <c r="Y178" s="1509">
        <f t="shared" ref="Y178:Y210" si="147">I178*J178+E178*$G$12*$C$12</f>
        <v>6432.32104401378</v>
      </c>
      <c r="Z178" s="1531">
        <f t="shared" ref="Z178:Z210" si="148">($C$12*$H$12*E178+O178)</f>
        <v>1789.9687605419947</v>
      </c>
      <c r="AA178" s="1531">
        <f t="shared" ref="AA178:AA210" si="149">$F$137*$D$11</f>
        <v>0</v>
      </c>
      <c r="AB178" s="1531">
        <f t="shared" ref="AB178:AB210" si="150">E178*$E$12</f>
        <v>11419.018508485759</v>
      </c>
      <c r="AC178" s="1531">
        <f t="shared" ref="AC178:AC210" si="151">SUM(X178:AB178)</f>
        <v>84527.45688534659</v>
      </c>
      <c r="AD178" s="1487">
        <f t="shared" ref="AD178:AD210" si="152">X178-G178</f>
        <v>0</v>
      </c>
      <c r="AE178" s="649">
        <f t="shared" ref="AE178:AE210" si="153">X178/AC178</f>
        <v>0.76763398501763647</v>
      </c>
      <c r="AF178" s="417">
        <f t="shared" ref="AF178:AF210" si="154">Y178/AC178</f>
        <v>7.6097415928869219E-2</v>
      </c>
      <c r="AG178" s="417">
        <f t="shared" ref="AG178:AG210" si="155">Z178/AC178</f>
        <v>2.117618140304299E-2</v>
      </c>
      <c r="AH178" s="417">
        <f>AA178/AC178</f>
        <v>0</v>
      </c>
      <c r="AI178" s="417">
        <f t="shared" ref="AI178:AI209" si="156">AB178/AC178</f>
        <v>0.13509241765045132</v>
      </c>
      <c r="AJ178" s="525">
        <f t="shared" ref="AJ178:AJ210" si="157">SUM(AE178:AI178)</f>
        <v>1</v>
      </c>
      <c r="AK178" s="1497">
        <f t="shared" ref="AK178:AK210" si="158">I178*(1-$J$137)-K178</f>
        <v>46966.146027228184</v>
      </c>
      <c r="AL178" s="1498">
        <f t="shared" ref="AL178:AL210" si="159">(E178*$C$86*$B$12-L178)*(1-U178)</f>
        <v>16725.598779901986</v>
      </c>
      <c r="AM178" s="1498">
        <f t="shared" ref="AM178:AM210" si="160">(E178*($C$85)*$B$12-O178)*(1-U178)</f>
        <v>1194.4037651748863</v>
      </c>
      <c r="AN178" s="1498">
        <f t="shared" ref="AN178:AN210" si="161">SUM(AK178:AM178)</f>
        <v>64886.148572305057</v>
      </c>
      <c r="AO178" s="1184">
        <f t="shared" ref="AO178:AO210" si="162">AN178-X178</f>
        <v>0</v>
      </c>
    </row>
    <row r="179" spans="1:41">
      <c r="A179" s="127">
        <f>'Input data'!A119</f>
        <v>2019</v>
      </c>
      <c r="B179" s="662">
        <f>'Input data'!B119</f>
        <v>58.364834921819444</v>
      </c>
      <c r="C179" s="236">
        <f>'Input data'!C119</f>
        <v>4454.6933079776372</v>
      </c>
      <c r="D179" s="528">
        <f>'Input data'!E119</f>
        <v>53709279.804327965</v>
      </c>
      <c r="E179" s="527">
        <f>'Input data'!J119*C179</f>
        <v>53594.618441738487</v>
      </c>
      <c r="F179" s="528">
        <f>'Input data'!L119</f>
        <v>107303.89824606644</v>
      </c>
      <c r="G179" s="528">
        <f t="shared" ref="G179:G189" si="163">$G$137*(1+((($G$150/$G$137)^(1/($A$150-$A$137)))-1))^(A179-$A$137)</f>
        <v>61517.098453473154</v>
      </c>
      <c r="H179" s="528">
        <f t="shared" si="135"/>
        <v>19639.470278913621</v>
      </c>
      <c r="I179" s="530">
        <f t="shared" si="138"/>
        <v>53709.279804327962</v>
      </c>
      <c r="J179" s="417">
        <f t="shared" si="139"/>
        <v>7.3782491286642105E-2</v>
      </c>
      <c r="K179" s="775">
        <f t="shared" ref="K179:K210" si="164">(I179)*J179-(I179)*$J$137</f>
        <v>657.11975564323666</v>
      </c>
      <c r="L179" s="1512">
        <f t="shared" si="140"/>
        <v>0</v>
      </c>
      <c r="M179" s="1511">
        <f t="shared" ref="M179:M210" si="165">L179+K179</f>
        <v>657.11975564323666</v>
      </c>
      <c r="N179" s="1454">
        <f>($N$142-$N$137)/($A$102-$A$97)+N178</f>
        <v>0.1</v>
      </c>
      <c r="O179" s="530">
        <f t="shared" si="141"/>
        <v>150.38340000000005</v>
      </c>
      <c r="P179" s="1481">
        <f>O179+M179</f>
        <v>807.50315564323671</v>
      </c>
      <c r="Q179" s="1364">
        <f t="shared" si="142"/>
        <v>80349.065576743538</v>
      </c>
      <c r="R179" s="1364">
        <f t="shared" ref="R179:R210" si="166">Q179-G179</f>
        <v>18831.967123270384</v>
      </c>
      <c r="S179" s="576">
        <f t="shared" si="143"/>
        <v>0.61537167195987674</v>
      </c>
      <c r="T179" s="135" t="str">
        <f t="shared" si="144"/>
        <v>Yes</v>
      </c>
      <c r="U179" s="1091">
        <f t="shared" si="145"/>
        <v>0.61537167195987674</v>
      </c>
      <c r="V179" s="1494">
        <f t="shared" si="136"/>
        <v>88471.931122796072</v>
      </c>
      <c r="W179" s="1491">
        <f t="shared" si="137"/>
        <v>0.17550123929407857</v>
      </c>
      <c r="X179" s="527">
        <f t="shared" si="146"/>
        <v>61517.098453473154</v>
      </c>
      <c r="Y179" s="1509">
        <f t="shared" si="147"/>
        <v>8254.5618926398001</v>
      </c>
      <c r="Z179" s="1531">
        <f t="shared" si="148"/>
        <v>2572.2972467623063</v>
      </c>
      <c r="AA179" s="1531">
        <f t="shared" si="149"/>
        <v>0</v>
      </c>
      <c r="AB179" s="1531">
        <f t="shared" si="150"/>
        <v>16127.973529920817</v>
      </c>
      <c r="AC179" s="1531">
        <f t="shared" si="151"/>
        <v>88471.931122796072</v>
      </c>
      <c r="AD179" s="1487">
        <f t="shared" si="152"/>
        <v>0</v>
      </c>
      <c r="AE179" s="649">
        <f t="shared" si="153"/>
        <v>0.69532898935018705</v>
      </c>
      <c r="AF179" s="417">
        <f t="shared" si="154"/>
        <v>9.3301477518137874E-2</v>
      </c>
      <c r="AG179" s="417">
        <f t="shared" si="155"/>
        <v>2.9074727024914197E-2</v>
      </c>
      <c r="AH179" s="417">
        <f t="shared" ref="AH179:AH210" si="167">AA179/AC179</f>
        <v>0</v>
      </c>
      <c r="AI179" s="417">
        <f t="shared" si="156"/>
        <v>0.18229480610676091</v>
      </c>
      <c r="AJ179" s="525">
        <f t="shared" si="157"/>
        <v>1</v>
      </c>
      <c r="AK179" s="1497">
        <f t="shared" si="158"/>
        <v>49746.475335153307</v>
      </c>
      <c r="AL179" s="1498">
        <f t="shared" si="159"/>
        <v>11001.949512697336</v>
      </c>
      <c r="AM179" s="1498">
        <f t="shared" si="160"/>
        <v>768.67360562249996</v>
      </c>
      <c r="AN179" s="1498">
        <f t="shared" si="161"/>
        <v>61517.09845347314</v>
      </c>
      <c r="AO179" s="1184">
        <f t="shared" si="162"/>
        <v>0</v>
      </c>
    </row>
    <row r="180" spans="1:41">
      <c r="A180" s="127">
        <f>'Input data'!A120</f>
        <v>2020</v>
      </c>
      <c r="B180" s="662">
        <f>'Input data'!B120</f>
        <v>59.308690000000006</v>
      </c>
      <c r="C180" s="236">
        <f>'Input data'!C120</f>
        <v>4168.5687090306074</v>
      </c>
      <c r="D180" s="528">
        <f>'Input data'!E120</f>
        <v>50685422.165534832</v>
      </c>
      <c r="E180" s="527">
        <f>'Input data'!J120*C180</f>
        <v>50152.240336853138</v>
      </c>
      <c r="F180" s="528">
        <f>'Input data'!L120</f>
        <v>100837.66250238798</v>
      </c>
      <c r="G180" s="528">
        <f t="shared" si="163"/>
        <v>58322.977791126912</v>
      </c>
      <c r="H180" s="528">
        <f t="shared" si="135"/>
        <v>18020.583836549667</v>
      </c>
      <c r="I180" s="530">
        <f t="shared" si="138"/>
        <v>50685.42216553483</v>
      </c>
      <c r="J180" s="417">
        <f t="shared" si="139"/>
        <v>8.0783733850016193E-2</v>
      </c>
      <c r="K180" s="775">
        <f t="shared" si="164"/>
        <v>974.98454026629906</v>
      </c>
      <c r="L180" s="1512">
        <f t="shared" si="140"/>
        <v>0</v>
      </c>
      <c r="M180" s="1511">
        <f t="shared" si="165"/>
        <v>974.98454026629906</v>
      </c>
      <c r="N180" s="1454">
        <f>($N$142-$N$137)/($A$102-$A$97)+N179</f>
        <v>0.15000000000000002</v>
      </c>
      <c r="O180" s="530">
        <f t="shared" si="141"/>
        <v>225.57510000000011</v>
      </c>
      <c r="P180" s="1481">
        <f t="shared" ref="P180:P210" si="168">O180+M180</f>
        <v>1200.5596402662991</v>
      </c>
      <c r="Q180" s="1364">
        <f t="shared" si="142"/>
        <v>75143.001987410287</v>
      </c>
      <c r="R180" s="1364">
        <f t="shared" si="166"/>
        <v>16820.024196283375</v>
      </c>
      <c r="S180" s="576">
        <f t="shared" si="143"/>
        <v>0.58909859937178344</v>
      </c>
      <c r="T180" s="135" t="str">
        <f t="shared" si="144"/>
        <v>Yes</v>
      </c>
      <c r="U180" s="1091">
        <f t="shared" si="145"/>
        <v>0.58909859937178344</v>
      </c>
      <c r="V180" s="1494">
        <f t="shared" si="136"/>
        <v>84017.638306104607</v>
      </c>
      <c r="W180" s="1491">
        <f t="shared" si="137"/>
        <v>0.16680299581403968</v>
      </c>
      <c r="X180" s="527">
        <f t="shared" si="146"/>
        <v>58322.977791126905</v>
      </c>
      <c r="Y180" s="1509">
        <f t="shared" si="147"/>
        <v>8110.6558377935944</v>
      </c>
      <c r="Z180" s="1531">
        <f t="shared" si="148"/>
        <v>2491.9296118810189</v>
      </c>
      <c r="AA180" s="1531">
        <f t="shared" si="149"/>
        <v>0</v>
      </c>
      <c r="AB180" s="1531">
        <f t="shared" si="150"/>
        <v>15092.075065303088</v>
      </c>
      <c r="AC180" s="1531">
        <f t="shared" si="151"/>
        <v>84017.638306104607</v>
      </c>
      <c r="AD180" s="1487">
        <f t="shared" si="152"/>
        <v>0</v>
      </c>
      <c r="AE180" s="649">
        <f t="shared" si="153"/>
        <v>0.69417540134413935</v>
      </c>
      <c r="AF180" s="417">
        <f t="shared" si="154"/>
        <v>9.653515620426914E-2</v>
      </c>
      <c r="AG180" s="417">
        <f t="shared" si="155"/>
        <v>2.9659600794800713E-2</v>
      </c>
      <c r="AH180" s="417">
        <f t="shared" si="167"/>
        <v>0</v>
      </c>
      <c r="AI180" s="417">
        <f t="shared" si="156"/>
        <v>0.17962984165679075</v>
      </c>
      <c r="AJ180" s="525">
        <f t="shared" si="157"/>
        <v>0.99999999999999989</v>
      </c>
      <c r="AK180" s="1497">
        <f t="shared" si="158"/>
        <v>46590.864511238557</v>
      </c>
      <c r="AL180" s="1498">
        <f t="shared" si="159"/>
        <v>10998.542995779353</v>
      </c>
      <c r="AM180" s="1498">
        <f t="shared" si="160"/>
        <v>733.57028410899761</v>
      </c>
      <c r="AN180" s="1498">
        <f t="shared" si="161"/>
        <v>58322.977791126905</v>
      </c>
      <c r="AO180" s="1184">
        <f t="shared" si="162"/>
        <v>0</v>
      </c>
    </row>
    <row r="181" spans="1:41">
      <c r="A181" s="127">
        <f>'Input data'!A121</f>
        <v>2021</v>
      </c>
      <c r="B181" s="662">
        <f>'Input data'!B121</f>
        <v>59.991580449204264</v>
      </c>
      <c r="C181" s="236">
        <f>'Input data'!C121</f>
        <v>4297.0962474291</v>
      </c>
      <c r="D181" s="528">
        <f>'Input data'!E121</f>
        <v>50618072.007836998</v>
      </c>
      <c r="E181" s="527">
        <f>'Input data'!J121*C181</f>
        <v>51698.561015627391</v>
      </c>
      <c r="F181" s="528">
        <f>'Input data'!L121</f>
        <v>102316.63302346438</v>
      </c>
      <c r="G181" s="528">
        <f t="shared" si="163"/>
        <v>55294.7038130703</v>
      </c>
      <c r="H181" s="528">
        <f t="shared" si="135"/>
        <v>21872.942721689818</v>
      </c>
      <c r="I181" s="530">
        <f t="shared" si="138"/>
        <v>50618.072007837</v>
      </c>
      <c r="J181" s="417">
        <f t="shared" si="139"/>
        <v>8.8449326404511766E-2</v>
      </c>
      <c r="K181" s="775">
        <f t="shared" si="164"/>
        <v>1361.706508858606</v>
      </c>
      <c r="L181" s="1512">
        <f t="shared" si="140"/>
        <v>0</v>
      </c>
      <c r="M181" s="1511">
        <f t="shared" si="165"/>
        <v>1361.706508858606</v>
      </c>
      <c r="N181" s="1454">
        <f>($N$142-$N$137)/($A$102-$A$97)+N180</f>
        <v>0.2</v>
      </c>
      <c r="O181" s="530">
        <f t="shared" si="141"/>
        <v>300.7668000000001</v>
      </c>
      <c r="P181" s="1481">
        <f t="shared" si="168"/>
        <v>1662.4733088586061</v>
      </c>
      <c r="Q181" s="1364">
        <f t="shared" si="142"/>
        <v>75505.173225901512</v>
      </c>
      <c r="R181" s="1364">
        <f t="shared" si="166"/>
        <v>20210.469412831211</v>
      </c>
      <c r="S181" s="576">
        <f t="shared" si="143"/>
        <v>0.68826819448994292</v>
      </c>
      <c r="T181" s="135" t="str">
        <f t="shared" si="144"/>
        <v>Yes</v>
      </c>
      <c r="U181" s="1091">
        <f t="shared" si="145"/>
        <v>0.68826819448994292</v>
      </c>
      <c r="V181" s="1494">
        <f t="shared" si="136"/>
        <v>82106.163610633186</v>
      </c>
      <c r="W181" s="1491">
        <f t="shared" si="137"/>
        <v>0.19752867950801611</v>
      </c>
      <c r="X181" s="527">
        <f t="shared" si="146"/>
        <v>55294.7038130703</v>
      </c>
      <c r="Y181" s="1509">
        <f t="shared" si="147"/>
        <v>8617.0590421503857</v>
      </c>
      <c r="Z181" s="1531">
        <f t="shared" si="148"/>
        <v>2636.9987654826227</v>
      </c>
      <c r="AA181" s="1531">
        <f t="shared" si="149"/>
        <v>0</v>
      </c>
      <c r="AB181" s="1531">
        <f t="shared" si="150"/>
        <v>15557.401989929876</v>
      </c>
      <c r="AC181" s="1531">
        <f t="shared" si="151"/>
        <v>82106.163610633186</v>
      </c>
      <c r="AD181" s="1487">
        <f t="shared" si="152"/>
        <v>0</v>
      </c>
      <c r="AE181" s="649">
        <f t="shared" si="153"/>
        <v>0.67345375038213751</v>
      </c>
      <c r="AF181" s="417">
        <f t="shared" si="154"/>
        <v>0.10495020913429245</v>
      </c>
      <c r="AG181" s="417">
        <f t="shared" si="155"/>
        <v>3.211694042834462E-2</v>
      </c>
      <c r="AH181" s="417">
        <f t="shared" si="167"/>
        <v>0</v>
      </c>
      <c r="AI181" s="417">
        <f t="shared" si="156"/>
        <v>0.18947910005522545</v>
      </c>
      <c r="AJ181" s="525">
        <f t="shared" si="157"/>
        <v>1</v>
      </c>
      <c r="AK181" s="1497">
        <f t="shared" si="158"/>
        <v>46140.937634848742</v>
      </c>
      <c r="AL181" s="1498">
        <f t="shared" si="159"/>
        <v>8601.352915072046</v>
      </c>
      <c r="AM181" s="1498">
        <f t="shared" si="160"/>
        <v>552.41326314950902</v>
      </c>
      <c r="AN181" s="1498">
        <f t="shared" si="161"/>
        <v>55294.703813070293</v>
      </c>
      <c r="AO181" s="1184">
        <f t="shared" si="162"/>
        <v>0</v>
      </c>
    </row>
    <row r="182" spans="1:41">
      <c r="A182" s="127">
        <f>'Input data'!A122</f>
        <v>2022</v>
      </c>
      <c r="B182" s="1551">
        <f>'Input data'!B122</f>
        <v>60.682333816399378</v>
      </c>
      <c r="C182" s="1550">
        <f>'Input data'!C122</f>
        <v>4398.6096135141943</v>
      </c>
      <c r="D182" s="1509">
        <f>'Input data'!E122</f>
        <v>50359792.847133137</v>
      </c>
      <c r="E182" s="1508">
        <f>'Input data'!J122*C182</f>
        <v>52919.872954728555</v>
      </c>
      <c r="F182" s="1509">
        <f>'Input data'!L122</f>
        <v>103279.6658018617</v>
      </c>
      <c r="G182" s="1509">
        <f t="shared" si="163"/>
        <v>52423.665347216396</v>
      </c>
      <c r="H182" s="1509">
        <f t="shared" si="135"/>
        <v>25202.396011186524</v>
      </c>
      <c r="I182" s="1511">
        <f t="shared" si="138"/>
        <v>50359.79284713314</v>
      </c>
      <c r="J182" s="1504">
        <f t="shared" si="139"/>
        <v>9.6842309318564565E-2</v>
      </c>
      <c r="K182" s="1512">
        <f t="shared" si="164"/>
        <v>1777.4272702588346</v>
      </c>
      <c r="L182" s="1512">
        <f t="shared" si="140"/>
        <v>0</v>
      </c>
      <c r="M182" s="1511">
        <f t="shared" si="165"/>
        <v>1777.4272702588346</v>
      </c>
      <c r="N182" s="1454">
        <f>$C$26</f>
        <v>0.25</v>
      </c>
      <c r="O182" s="530">
        <f t="shared" si="141"/>
        <v>375.95850000000013</v>
      </c>
      <c r="P182" s="1481">
        <f t="shared" si="168"/>
        <v>2153.3857702588348</v>
      </c>
      <c r="Q182" s="1364">
        <f t="shared" si="142"/>
        <v>75472.675588144091</v>
      </c>
      <c r="R182" s="1364">
        <f t="shared" si="166"/>
        <v>23049.010240927695</v>
      </c>
      <c r="S182" s="576">
        <f t="shared" si="143"/>
        <v>0.76856059193775039</v>
      </c>
      <c r="T182" s="135" t="str">
        <f t="shared" si="144"/>
        <v>Yes</v>
      </c>
      <c r="U182" s="1091">
        <f t="shared" si="145"/>
        <v>0.76856059193775039</v>
      </c>
      <c r="V182" s="1494">
        <f t="shared" si="136"/>
        <v>80230.655560934014</v>
      </c>
      <c r="W182" s="1491">
        <f>(1-V182/F182)</f>
        <v>0.22317084454113534</v>
      </c>
      <c r="X182" s="527">
        <f t="shared" si="146"/>
        <v>52423.665347216396</v>
      </c>
      <c r="Y182" s="1509">
        <f t="shared" si="147"/>
        <v>9114.6836951990845</v>
      </c>
      <c r="Z182" s="1531">
        <f t="shared" si="148"/>
        <v>2767.3809376331187</v>
      </c>
      <c r="AA182" s="1531">
        <f t="shared" si="149"/>
        <v>0</v>
      </c>
      <c r="AB182" s="1531">
        <f t="shared" si="150"/>
        <v>15924.925580885418</v>
      </c>
      <c r="AC182" s="1531">
        <f t="shared" si="151"/>
        <v>80230.655560934014</v>
      </c>
      <c r="AD182" s="1487">
        <f t="shared" si="152"/>
        <v>0</v>
      </c>
      <c r="AE182" s="649">
        <f t="shared" si="153"/>
        <v>0.65341190322695775</v>
      </c>
      <c r="AF182" s="417">
        <f t="shared" si="154"/>
        <v>0.1136059980000614</v>
      </c>
      <c r="AG182" s="417">
        <f t="shared" si="155"/>
        <v>3.4492812233490142E-2</v>
      </c>
      <c r="AH182" s="417">
        <f t="shared" si="167"/>
        <v>0</v>
      </c>
      <c r="AI182" s="417">
        <f t="shared" si="156"/>
        <v>0.19848928653949074</v>
      </c>
      <c r="AJ182" s="525">
        <f t="shared" si="157"/>
        <v>1</v>
      </c>
      <c r="AK182" s="1497">
        <f t="shared" si="158"/>
        <v>45482.834211012239</v>
      </c>
      <c r="AL182" s="1498">
        <f t="shared" si="159"/>
        <v>6536.771440039257</v>
      </c>
      <c r="AM182" s="1498">
        <f t="shared" si="160"/>
        <v>404.05969616489688</v>
      </c>
      <c r="AN182" s="1498">
        <f t="shared" si="161"/>
        <v>52423.665347216396</v>
      </c>
      <c r="AO182" s="1184">
        <f t="shared" si="162"/>
        <v>0</v>
      </c>
    </row>
    <row r="183" spans="1:41">
      <c r="A183" s="127">
        <f>'Input data'!A123</f>
        <v>2023</v>
      </c>
      <c r="B183" s="1551">
        <f>'Input data'!B123</f>
        <v>61.381040636574369</v>
      </c>
      <c r="C183" s="1550">
        <f>'Input data'!C123</f>
        <v>4491.3837914672167</v>
      </c>
      <c r="D183" s="1509">
        <f>'Input data'!E123</f>
        <v>49695564.714711666</v>
      </c>
      <c r="E183" s="1508">
        <f>'Input data'!J123*C183</f>
        <v>54036.043322671459</v>
      </c>
      <c r="F183" s="1509">
        <f>'Input data'!L123</f>
        <v>103731.60803738312</v>
      </c>
      <c r="G183" s="1509">
        <f t="shared" si="163"/>
        <v>49701.698334937471</v>
      </c>
      <c r="H183" s="1509">
        <f t="shared" si="135"/>
        <v>27941.483134473681</v>
      </c>
      <c r="I183" s="1511">
        <f t="shared" si="138"/>
        <v>49695.564714711669</v>
      </c>
      <c r="J183" s="1504">
        <f t="shared" si="139"/>
        <v>0.10603170487993842</v>
      </c>
      <c r="K183" s="1512">
        <f t="shared" si="164"/>
        <v>2210.6558252719519</v>
      </c>
      <c r="L183" s="1512">
        <f t="shared" si="140"/>
        <v>0</v>
      </c>
      <c r="M183" s="1511">
        <f t="shared" si="165"/>
        <v>2210.6558252719519</v>
      </c>
      <c r="N183" s="1454">
        <f>($N$147-$N$142)/($A$107-$A$102)+N182</f>
        <v>0.3</v>
      </c>
      <c r="O183" s="530">
        <f t="shared" si="141"/>
        <v>451.15020000000015</v>
      </c>
      <c r="P183" s="1481">
        <f t="shared" si="168"/>
        <v>2661.806025271952</v>
      </c>
      <c r="Q183" s="1364">
        <f t="shared" si="142"/>
        <v>74981.375444139194</v>
      </c>
      <c r="R183" s="1364">
        <f t="shared" si="166"/>
        <v>25279.677109201722</v>
      </c>
      <c r="S183" s="576">
        <f t="shared" si="143"/>
        <v>0.82734678406619222</v>
      </c>
      <c r="T183" s="135" t="str">
        <f t="shared" si="144"/>
        <v>Yes</v>
      </c>
      <c r="U183" s="1091">
        <f t="shared" si="145"/>
        <v>0.82734678406619222</v>
      </c>
      <c r="V183" s="1494">
        <f t="shared" si="136"/>
        <v>78451.93092818142</v>
      </c>
      <c r="W183" s="1491">
        <f t="shared" si="137"/>
        <v>0.24370274005673687</v>
      </c>
      <c r="X183" s="527">
        <f t="shared" si="146"/>
        <v>49701.698334937471</v>
      </c>
      <c r="Y183" s="1509">
        <f t="shared" si="147"/>
        <v>9596.4113590845809</v>
      </c>
      <c r="Z183" s="1531">
        <f t="shared" si="148"/>
        <v>2893.0118150741405</v>
      </c>
      <c r="AA183" s="1531">
        <f t="shared" si="149"/>
        <v>0</v>
      </c>
      <c r="AB183" s="1531">
        <f t="shared" si="150"/>
        <v>16260.809419085223</v>
      </c>
      <c r="AC183" s="1531">
        <f t="shared" si="151"/>
        <v>78451.93092818142</v>
      </c>
      <c r="AD183" s="1487">
        <f t="shared" si="152"/>
        <v>0</v>
      </c>
      <c r="AE183" s="649">
        <f t="shared" si="153"/>
        <v>0.63353059315310845</v>
      </c>
      <c r="AF183" s="417">
        <f t="shared" si="154"/>
        <v>0.12232218181945817</v>
      </c>
      <c r="AG183" s="417">
        <f t="shared" si="155"/>
        <v>3.6876234668112115E-2</v>
      </c>
      <c r="AH183" s="417">
        <f t="shared" si="167"/>
        <v>0</v>
      </c>
      <c r="AI183" s="417">
        <f t="shared" si="156"/>
        <v>0.20727099035932117</v>
      </c>
      <c r="AJ183" s="525">
        <f t="shared" si="157"/>
        <v>0.99999999999999989</v>
      </c>
      <c r="AK183" s="1497">
        <f t="shared" si="158"/>
        <v>44426.259263039479</v>
      </c>
      <c r="AL183" s="1498">
        <f t="shared" si="159"/>
        <v>4979.2669519781512</v>
      </c>
      <c r="AM183" s="1498">
        <f t="shared" si="160"/>
        <v>296.1721199198405</v>
      </c>
      <c r="AN183" s="1498">
        <f t="shared" si="161"/>
        <v>49701.698334937471</v>
      </c>
      <c r="AO183" s="1184">
        <f t="shared" si="162"/>
        <v>0</v>
      </c>
    </row>
    <row r="184" spans="1:41">
      <c r="A184" s="127">
        <f>'Input data'!A124</f>
        <v>2024</v>
      </c>
      <c r="B184" s="1551">
        <f>'Input data'!B124</f>
        <v>62.087792487153699</v>
      </c>
      <c r="C184" s="1550">
        <f>'Input data'!C124</f>
        <v>4591.0468432418256</v>
      </c>
      <c r="D184" s="1509">
        <f>'Input data'!E124</f>
        <v>49925010.483280979</v>
      </c>
      <c r="E184" s="1508">
        <f>'Input data'!J124*C184</f>
        <v>55235.094045879225</v>
      </c>
      <c r="F184" s="1509">
        <f>'Input data'!L124</f>
        <v>105160.10452916021</v>
      </c>
      <c r="G184" s="1509">
        <f t="shared" si="163"/>
        <v>47121.062615822855</v>
      </c>
      <c r="H184" s="1509">
        <f t="shared" si="135"/>
        <v>31425.466595877311</v>
      </c>
      <c r="I184" s="1511">
        <f t="shared" si="138"/>
        <v>49925.010483280981</v>
      </c>
      <c r="J184" s="1504">
        <f t="shared" si="139"/>
        <v>0.11609308492183117</v>
      </c>
      <c r="K184" s="1512">
        <f t="shared" si="164"/>
        <v>2723.1769871729425</v>
      </c>
      <c r="L184" s="1512">
        <f t="shared" si="140"/>
        <v>0</v>
      </c>
      <c r="M184" s="1511">
        <f t="shared" si="165"/>
        <v>2723.1769871729425</v>
      </c>
      <c r="N184" s="1454">
        <f>($N$147-$N$142)/($A$107-$A$102)+N183</f>
        <v>0.35</v>
      </c>
      <c r="O184" s="530">
        <f t="shared" si="141"/>
        <v>526.34190000000012</v>
      </c>
      <c r="P184" s="1481">
        <f t="shared" si="168"/>
        <v>3249.5188871729424</v>
      </c>
      <c r="Q184" s="1364">
        <f t="shared" si="142"/>
        <v>75297.010324527218</v>
      </c>
      <c r="R184" s="1364">
        <f t="shared" si="166"/>
        <v>28175.947708704363</v>
      </c>
      <c r="S184" s="576">
        <f t="shared" si="143"/>
        <v>0.904003927903964</v>
      </c>
      <c r="T184" s="135" t="str">
        <f t="shared" si="144"/>
        <v>Yes</v>
      </c>
      <c r="U184" s="1091">
        <f t="shared" si="145"/>
        <v>0.904003927903964</v>
      </c>
      <c r="V184" s="1494">
        <f t="shared" si="136"/>
        <v>76984.156820455843</v>
      </c>
      <c r="W184" s="1491">
        <f t="shared" si="137"/>
        <v>0.26793381230323288</v>
      </c>
      <c r="X184" s="527">
        <f t="shared" si="146"/>
        <v>47121.062615822855</v>
      </c>
      <c r="Y184" s="1509">
        <f t="shared" si="147"/>
        <v>10219.072142297562</v>
      </c>
      <c r="Z184" s="1531">
        <f t="shared" si="148"/>
        <v>3022.3880140768551</v>
      </c>
      <c r="AA184" s="1531">
        <f t="shared" si="149"/>
        <v>0</v>
      </c>
      <c r="AB184" s="1531">
        <f t="shared" si="150"/>
        <v>16621.634048258569</v>
      </c>
      <c r="AC184" s="1531">
        <f t="shared" si="151"/>
        <v>76984.156820455843</v>
      </c>
      <c r="AD184" s="1487">
        <f t="shared" si="152"/>
        <v>0</v>
      </c>
      <c r="AE184" s="649">
        <f t="shared" si="153"/>
        <v>0.61208779263140656</v>
      </c>
      <c r="AF184" s="417">
        <f t="shared" si="154"/>
        <v>0.13274253514435067</v>
      </c>
      <c r="AG184" s="417">
        <f t="shared" si="155"/>
        <v>3.9259870327939497E-2</v>
      </c>
      <c r="AH184" s="417">
        <f t="shared" si="167"/>
        <v>0</v>
      </c>
      <c r="AI184" s="417">
        <f t="shared" si="156"/>
        <v>0.21590980189630332</v>
      </c>
      <c r="AJ184" s="525">
        <f t="shared" si="157"/>
        <v>1</v>
      </c>
      <c r="AK184" s="1497">
        <f t="shared" si="158"/>
        <v>44129.062001522136</v>
      </c>
      <c r="AL184" s="1498">
        <f t="shared" si="159"/>
        <v>2829.9304244053719</v>
      </c>
      <c r="AM184" s="1498">
        <f t="shared" si="160"/>
        <v>162.07018989534944</v>
      </c>
      <c r="AN184" s="1498">
        <f t="shared" si="161"/>
        <v>47121.062615822855</v>
      </c>
      <c r="AO184" s="1184">
        <f t="shared" si="162"/>
        <v>0</v>
      </c>
    </row>
    <row r="185" spans="1:41">
      <c r="A185" s="127">
        <f>'Input data'!A125</f>
        <v>2025</v>
      </c>
      <c r="B185" s="1551">
        <f>'Input data'!B125</f>
        <v>62.802682000000026</v>
      </c>
      <c r="C185" s="1550">
        <f>'Input data'!C125</f>
        <v>4678.7390647078637</v>
      </c>
      <c r="D185" s="1509">
        <f>'Input data'!E125</f>
        <v>50358140.956147172</v>
      </c>
      <c r="E185" s="1508">
        <f>'Input data'!J125*C185</f>
        <v>56290.12316345374</v>
      </c>
      <c r="F185" s="1509">
        <f>'Input data'!L125</f>
        <v>106648.26411960091</v>
      </c>
      <c r="G185" s="1509">
        <f t="shared" si="163"/>
        <v>44674.419917829786</v>
      </c>
      <c r="H185" s="1509">
        <f t="shared" si="135"/>
        <v>34883.964784811731</v>
      </c>
      <c r="I185" s="1511">
        <f t="shared" si="138"/>
        <v>50358.140956147174</v>
      </c>
      <c r="J185" s="1504">
        <f t="shared" si="139"/>
        <v>0.12710919231119061</v>
      </c>
      <c r="K185" s="1512">
        <f t="shared" si="164"/>
        <v>3301.5529275214785</v>
      </c>
      <c r="L185" s="1512">
        <f t="shared" si="140"/>
        <v>0</v>
      </c>
      <c r="M185" s="1511">
        <f t="shared" si="165"/>
        <v>3301.5529275214785</v>
      </c>
      <c r="N185" s="1454">
        <f>($N$147-$N$142)/($A$107-$A$102)+N184</f>
        <v>0.39999999999999997</v>
      </c>
      <c r="O185" s="530">
        <f t="shared" si="141"/>
        <v>601.53360000000009</v>
      </c>
      <c r="P185" s="1481">
        <f t="shared" si="168"/>
        <v>3903.0865275214787</v>
      </c>
      <c r="Q185" s="1364">
        <f t="shared" si="142"/>
        <v>75655.298175120042</v>
      </c>
      <c r="R185" s="1364">
        <f t="shared" si="166"/>
        <v>30980.878257290256</v>
      </c>
      <c r="S185" s="576">
        <f t="shared" si="143"/>
        <v>0.97737212377501625</v>
      </c>
      <c r="T185" s="135" t="str">
        <f t="shared" si="144"/>
        <v>Yes</v>
      </c>
      <c r="U185" s="1091">
        <f t="shared" si="145"/>
        <v>0.97737212377501625</v>
      </c>
      <c r="V185" s="1494">
        <f t="shared" si="136"/>
        <v>75667.385862310679</v>
      </c>
      <c r="W185" s="1491">
        <f t="shared" si="137"/>
        <v>0.29049585113309173</v>
      </c>
      <c r="X185" s="527">
        <f t="shared" si="146"/>
        <v>44674.419917829786</v>
      </c>
      <c r="Y185" s="1509">
        <f t="shared" si="147"/>
        <v>10908.591054421357</v>
      </c>
      <c r="Z185" s="1531">
        <f t="shared" si="148"/>
        <v>3145.2559491706606</v>
      </c>
      <c r="AA185" s="1531">
        <f t="shared" si="149"/>
        <v>0</v>
      </c>
      <c r="AB185" s="1531">
        <f t="shared" si="150"/>
        <v>16939.118940888875</v>
      </c>
      <c r="AC185" s="1531">
        <f t="shared" si="151"/>
        <v>75667.385862310679</v>
      </c>
      <c r="AD185" s="1487">
        <f t="shared" si="152"/>
        <v>0</v>
      </c>
      <c r="AE185" s="649">
        <f t="shared" si="153"/>
        <v>0.59040522424181907</v>
      </c>
      <c r="AF185" s="417">
        <f t="shared" si="154"/>
        <v>0.14416503134218675</v>
      </c>
      <c r="AG185" s="417">
        <f t="shared" si="155"/>
        <v>4.1566864155899004E-2</v>
      </c>
      <c r="AH185" s="417">
        <f t="shared" si="167"/>
        <v>0</v>
      </c>
      <c r="AI185" s="417">
        <f t="shared" si="156"/>
        <v>0.22386288026009518</v>
      </c>
      <c r="AJ185" s="525">
        <f t="shared" si="157"/>
        <v>1</v>
      </c>
      <c r="AK185" s="1497">
        <f t="shared" si="158"/>
        <v>43957.158332918218</v>
      </c>
      <c r="AL185" s="1498">
        <f t="shared" si="159"/>
        <v>679.80317812839712</v>
      </c>
      <c r="AM185" s="1498">
        <f t="shared" si="160"/>
        <v>37.458406783171085</v>
      </c>
      <c r="AN185" s="1498">
        <f t="shared" si="161"/>
        <v>44674.419917829786</v>
      </c>
      <c r="AO185" s="1184">
        <f t="shared" si="162"/>
        <v>0</v>
      </c>
    </row>
    <row r="186" spans="1:41">
      <c r="A186" s="127">
        <f>'Input data'!A126</f>
        <v>2026</v>
      </c>
      <c r="B186" s="1551">
        <f>'Input data'!B126</f>
        <v>63.421065342005143</v>
      </c>
      <c r="C186" s="1550">
        <f>'Input data'!C126</f>
        <v>4759.3318943865906</v>
      </c>
      <c r="D186" s="1509">
        <f>'Input data'!E126</f>
        <v>48568999.176537097</v>
      </c>
      <c r="E186" s="1508">
        <f>'Input data'!J126*C186</f>
        <v>57259.739174512491</v>
      </c>
      <c r="F186" s="1509">
        <f>'Input data'!L126</f>
        <v>105828.73835104959</v>
      </c>
      <c r="G186" s="1509">
        <f t="shared" si="163"/>
        <v>42354.812990240433</v>
      </c>
      <c r="H186" s="1509">
        <f t="shared" si="135"/>
        <v>36080.92013391103</v>
      </c>
      <c r="I186" s="1511">
        <f t="shared" si="138"/>
        <v>48568.999176537094</v>
      </c>
      <c r="J186" s="1504">
        <f t="shared" si="139"/>
        <v>0.13917062141024203</v>
      </c>
      <c r="K186" s="1512">
        <f t="shared" si="164"/>
        <v>3770.0657315258559</v>
      </c>
      <c r="L186" s="1512">
        <f t="shared" si="140"/>
        <v>0</v>
      </c>
      <c r="M186" s="1511">
        <f t="shared" si="165"/>
        <v>3770.0657315258559</v>
      </c>
      <c r="N186" s="1454">
        <f>($N$147-$N$142)/($A$107-$A$102)+N185</f>
        <v>0.44999999999999996</v>
      </c>
      <c r="O186" s="530">
        <f t="shared" si="141"/>
        <v>676.72530000000006</v>
      </c>
      <c r="P186" s="1481">
        <f t="shared" si="168"/>
        <v>4446.7910315258559</v>
      </c>
      <c r="Q186" s="1364">
        <f t="shared" si="142"/>
        <v>73988.942092625599</v>
      </c>
      <c r="R186" s="1364">
        <f t="shared" si="166"/>
        <v>31634.129102385166</v>
      </c>
      <c r="S186" s="576">
        <f t="shared" si="143"/>
        <v>0.98305770295022576</v>
      </c>
      <c r="T186" s="135" t="str">
        <f t="shared" si="144"/>
        <v>Yes</v>
      </c>
      <c r="U186" s="1091">
        <f t="shared" si="145"/>
        <v>0.98305770295022576</v>
      </c>
      <c r="V186" s="1494">
        <f t="shared" si="136"/>
        <v>74194.609248664419</v>
      </c>
      <c r="W186" s="1491">
        <f t="shared" si="137"/>
        <v>0.29891813504806297</v>
      </c>
      <c r="X186" s="527">
        <f t="shared" si="146"/>
        <v>42354.812990240433</v>
      </c>
      <c r="Y186" s="1509">
        <f t="shared" si="147"/>
        <v>11344.631275713871</v>
      </c>
      <c r="Z186" s="1531">
        <f t="shared" si="148"/>
        <v>3264.2641089478384</v>
      </c>
      <c r="AA186" s="1531">
        <f t="shared" si="149"/>
        <v>0</v>
      </c>
      <c r="AB186" s="1531">
        <f t="shared" si="150"/>
        <v>17230.900873762275</v>
      </c>
      <c r="AC186" s="1531">
        <f t="shared" si="151"/>
        <v>74194.609248664419</v>
      </c>
      <c r="AD186" s="1487">
        <f t="shared" si="152"/>
        <v>0</v>
      </c>
      <c r="AE186" s="1454">
        <f t="shared" si="153"/>
        <v>0.57086105606793613</v>
      </c>
      <c r="AF186" s="1504">
        <f t="shared" si="154"/>
        <v>0.15290371349880902</v>
      </c>
      <c r="AG186" s="1504">
        <f t="shared" si="155"/>
        <v>4.3995974128087999E-2</v>
      </c>
      <c r="AH186" s="1504">
        <f t="shared" si="167"/>
        <v>0</v>
      </c>
      <c r="AI186" s="1504">
        <f t="shared" si="156"/>
        <v>0.23223925630516681</v>
      </c>
      <c r="AJ186" s="1541">
        <f t="shared" si="157"/>
        <v>1</v>
      </c>
      <c r="AK186" s="1555">
        <f t="shared" si="158"/>
        <v>41809.62137986489</v>
      </c>
      <c r="AL186" s="1556">
        <f t="shared" si="159"/>
        <v>517.76042802966469</v>
      </c>
      <c r="AM186" s="1556">
        <f t="shared" si="160"/>
        <v>27.431182345879979</v>
      </c>
      <c r="AN186" s="1498">
        <f t="shared" si="161"/>
        <v>42354.812990240433</v>
      </c>
      <c r="AO186" s="1184">
        <f t="shared" si="162"/>
        <v>0</v>
      </c>
    </row>
    <row r="187" spans="1:41">
      <c r="A187" s="127">
        <f>'Input data'!A127</f>
        <v>2027</v>
      </c>
      <c r="B187" s="1551">
        <f>'Input data'!B127</f>
        <v>64.045537563425796</v>
      </c>
      <c r="C187" s="1550">
        <f>'Input data'!C127</f>
        <v>4833.4252769493587</v>
      </c>
      <c r="D187" s="1509">
        <f>'Input data'!E127</f>
        <v>48190122.249078177</v>
      </c>
      <c r="E187" s="1508">
        <f>'Input data'!J127*C187</f>
        <v>58151.160040770083</v>
      </c>
      <c r="F187" s="1509">
        <f>'Input data'!L127</f>
        <v>106341.28228984826</v>
      </c>
      <c r="G187" s="1509">
        <f t="shared" si="163"/>
        <v>40155.6458200876</v>
      </c>
      <c r="H187" s="1509">
        <f t="shared" si="135"/>
        <v>38436.033034438857</v>
      </c>
      <c r="I187" s="1511">
        <f t="shared" si="138"/>
        <v>48190.12224907818</v>
      </c>
      <c r="J187" s="1504">
        <f t="shared" si="139"/>
        <v>0.15237656310721223</v>
      </c>
      <c r="K187" s="1512">
        <f t="shared" si="164"/>
        <v>4377.0521569755692</v>
      </c>
      <c r="L187" s="1512">
        <f t="shared" si="140"/>
        <v>0</v>
      </c>
      <c r="M187" s="1511">
        <f t="shared" si="165"/>
        <v>4377.0521569755692</v>
      </c>
      <c r="N187" s="1454">
        <f>$C$27</f>
        <v>0.5</v>
      </c>
      <c r="O187" s="530">
        <f t="shared" si="141"/>
        <v>751.91700000000026</v>
      </c>
      <c r="P187" s="1481">
        <f t="shared" si="168"/>
        <v>5128.9691569755696</v>
      </c>
      <c r="Q187" s="1364">
        <f t="shared" si="142"/>
        <v>73462.70969755089</v>
      </c>
      <c r="R187" s="1364">
        <f t="shared" si="166"/>
        <v>33307.06387746329</v>
      </c>
      <c r="S187" s="576">
        <f t="shared" si="143"/>
        <v>1.0211993810552857</v>
      </c>
      <c r="T187" s="135" t="str">
        <f t="shared" si="144"/>
        <v>No</v>
      </c>
      <c r="U187" s="1091">
        <f t="shared" si="145"/>
        <v>1</v>
      </c>
      <c r="V187" s="1494">
        <f t="shared" si="136"/>
        <v>73725.649637344613</v>
      </c>
      <c r="W187" s="1491">
        <f t="shared" si="137"/>
        <v>0.30670715972377605</v>
      </c>
      <c r="X187" s="527">
        <f t="shared" si="146"/>
        <v>40847.077045047248</v>
      </c>
      <c r="Y187" s="1509">
        <f t="shared" si="147"/>
        <v>11999.682009074852</v>
      </c>
      <c r="Z187" s="1531">
        <f t="shared" si="148"/>
        <v>3379.7386694672964</v>
      </c>
      <c r="AA187" s="1531">
        <f t="shared" si="149"/>
        <v>0</v>
      </c>
      <c r="AB187" s="1531">
        <f>E187*$E$12</f>
        <v>17499.151913755224</v>
      </c>
      <c r="AC187" s="1531">
        <f t="shared" si="151"/>
        <v>73725.649637344613</v>
      </c>
      <c r="AD187" s="1487">
        <f t="shared" si="152"/>
        <v>691.43122495964781</v>
      </c>
      <c r="AE187" s="1454">
        <f t="shared" si="153"/>
        <v>0.55404160215574116</v>
      </c>
      <c r="AF187" s="1504">
        <f t="shared" si="154"/>
        <v>0.16276129227888952</v>
      </c>
      <c r="AG187" s="1504">
        <f t="shared" si="155"/>
        <v>4.5842100898292264E-2</v>
      </c>
      <c r="AH187" s="1504">
        <f t="shared" si="167"/>
        <v>0</v>
      </c>
      <c r="AI187" s="1504">
        <f t="shared" si="156"/>
        <v>0.23735500466707712</v>
      </c>
      <c r="AJ187" s="1541">
        <f t="shared" si="157"/>
        <v>1</v>
      </c>
      <c r="AK187" s="1555">
        <f t="shared" si="158"/>
        <v>40847.077045047248</v>
      </c>
      <c r="AL187" s="1556">
        <f t="shared" si="159"/>
        <v>0</v>
      </c>
      <c r="AM187" s="1556">
        <f t="shared" si="160"/>
        <v>0</v>
      </c>
      <c r="AN187" s="1498">
        <f t="shared" si="161"/>
        <v>40847.077045047248</v>
      </c>
      <c r="AO187" s="1184">
        <f t="shared" si="162"/>
        <v>0</v>
      </c>
    </row>
    <row r="188" spans="1:41">
      <c r="A188" s="127">
        <f>'Input data'!A128</f>
        <v>2028</v>
      </c>
      <c r="B188" s="1551">
        <f>'Input data'!B128</f>
        <v>64.676158618096451</v>
      </c>
      <c r="C188" s="1550">
        <f>'Input data'!C128</f>
        <v>4919.2292537742524</v>
      </c>
      <c r="D188" s="1509">
        <f>'Input data'!E128</f>
        <v>48438037.819118328</v>
      </c>
      <c r="E188" s="1508">
        <f>'Input data'!J128*C188</f>
        <v>59183.471600912402</v>
      </c>
      <c r="F188" s="1509">
        <f>'Input data'!L128</f>
        <v>107621.50942003072</v>
      </c>
      <c r="G188" s="1509">
        <f t="shared" si="163"/>
        <v>38070.664875792791</v>
      </c>
      <c r="H188" s="1509">
        <f t="shared" si="135"/>
        <v>41346.018629074344</v>
      </c>
      <c r="I188" s="1511">
        <f t="shared" si="138"/>
        <v>48438.037819118326</v>
      </c>
      <c r="J188" s="1504">
        <f t="shared" si="139"/>
        <v>0.16683562054324133</v>
      </c>
      <c r="K188" s="1512">
        <f t="shared" si="164"/>
        <v>5099.9384076957322</v>
      </c>
      <c r="L188" s="1512">
        <f t="shared" si="140"/>
        <v>0</v>
      </c>
      <c r="M188" s="1511">
        <f t="shared" si="165"/>
        <v>5099.9384076957322</v>
      </c>
      <c r="N188" s="1454">
        <f>N187</f>
        <v>0.5</v>
      </c>
      <c r="O188" s="530">
        <f t="shared" si="141"/>
        <v>751.91700000000026</v>
      </c>
      <c r="P188" s="1481">
        <f t="shared" si="168"/>
        <v>5851.8554076957325</v>
      </c>
      <c r="Q188" s="1364">
        <f t="shared" si="142"/>
        <v>73564.828097171398</v>
      </c>
      <c r="R188" s="1364">
        <f t="shared" si="166"/>
        <v>35494.163221378607</v>
      </c>
      <c r="S188" s="576">
        <f t="shared" si="143"/>
        <v>1.0688443807790986</v>
      </c>
      <c r="T188" s="135" t="str">
        <f t="shared" si="144"/>
        <v>No</v>
      </c>
      <c r="U188" s="1091">
        <f t="shared" si="145"/>
        <v>1</v>
      </c>
      <c r="V188" s="1494">
        <f t="shared" si="136"/>
        <v>74413.529044528055</v>
      </c>
      <c r="W188" s="1491">
        <f t="shared" si="137"/>
        <v>0.30856267073802934</v>
      </c>
      <c r="X188" s="527">
        <f t="shared" si="146"/>
        <v>40356.847721668732</v>
      </c>
      <c r="Y188" s="1509">
        <f t="shared" si="147"/>
        <v>12820.492493375294</v>
      </c>
      <c r="Z188" s="1531">
        <f t="shared" si="148"/>
        <v>3426.3883095687434</v>
      </c>
      <c r="AA188" s="1531">
        <f t="shared" si="149"/>
        <v>0</v>
      </c>
      <c r="AB188" s="1531">
        <f t="shared" si="150"/>
        <v>17809.800519915287</v>
      </c>
      <c r="AC188" s="1531">
        <f t="shared" si="151"/>
        <v>74413.529044528055</v>
      </c>
      <c r="AD188" s="1487">
        <f t="shared" si="152"/>
        <v>2286.182845875941</v>
      </c>
      <c r="AE188" s="1454">
        <f t="shared" si="153"/>
        <v>0.54233213018992465</v>
      </c>
      <c r="AF188" s="1504">
        <f t="shared" si="154"/>
        <v>0.17228711845803851</v>
      </c>
      <c r="AG188" s="1504">
        <f t="shared" si="155"/>
        <v>4.6045233354252542E-2</v>
      </c>
      <c r="AH188" s="1504">
        <f t="shared" si="167"/>
        <v>0</v>
      </c>
      <c r="AI188" s="1504">
        <f t="shared" si="156"/>
        <v>0.23933551799778427</v>
      </c>
      <c r="AJ188" s="1541">
        <f t="shared" si="157"/>
        <v>1</v>
      </c>
      <c r="AK188" s="1555">
        <f t="shared" si="158"/>
        <v>40356.847721668732</v>
      </c>
      <c r="AL188" s="1556">
        <f t="shared" si="159"/>
        <v>0</v>
      </c>
      <c r="AM188" s="1556">
        <f t="shared" si="160"/>
        <v>0</v>
      </c>
      <c r="AN188" s="1498">
        <f t="shared" si="161"/>
        <v>40356.847721668732</v>
      </c>
      <c r="AO188" s="1184">
        <f t="shared" si="162"/>
        <v>0</v>
      </c>
    </row>
    <row r="189" spans="1:41">
      <c r="A189" s="127">
        <f>'Input data'!A129</f>
        <v>2029</v>
      </c>
      <c r="B189" s="1551">
        <f>'Input data'!B129</f>
        <v>65.31298905018393</v>
      </c>
      <c r="C189" s="1550">
        <f>'Input data'!C129</f>
        <v>5028.6283675846353</v>
      </c>
      <c r="D189" s="1509">
        <f>'Input data'!E129</f>
        <v>47172284.942566738</v>
      </c>
      <c r="E189" s="1508">
        <f>'Input data'!J129*C189</f>
        <v>60499.65733069805</v>
      </c>
      <c r="F189" s="1509">
        <f>'Input data'!L129</f>
        <v>107671.94227326478</v>
      </c>
      <c r="G189" s="1509">
        <f t="shared" si="163"/>
        <v>36093.941324681233</v>
      </c>
      <c r="H189" s="1509">
        <f t="shared" si="135"/>
        <v>42890.130273456904</v>
      </c>
      <c r="I189" s="1511">
        <f t="shared" si="138"/>
        <v>47172.284942566737</v>
      </c>
      <c r="J189" s="1504">
        <f>$J$137*(1+((($J$150/$J$137)^(1/($A$150-$A$137)))-1))^(A189-$A$137)</f>
        <v>0.18266670224386344</v>
      </c>
      <c r="K189" s="1512">
        <f t="shared" si="164"/>
        <v>5713.4582651847313</v>
      </c>
      <c r="L189" s="1512">
        <f t="shared" si="140"/>
        <v>0</v>
      </c>
      <c r="M189" s="1511">
        <f t="shared" si="165"/>
        <v>5713.4582651847313</v>
      </c>
      <c r="N189" s="1454">
        <f t="shared" ref="N189:N210" si="169">N188</f>
        <v>0.5</v>
      </c>
      <c r="O189" s="530">
        <f t="shared" si="141"/>
        <v>751.91700000000026</v>
      </c>
      <c r="P189" s="1481">
        <f t="shared" si="168"/>
        <v>6465.3752651847317</v>
      </c>
      <c r="Q189" s="1364">
        <f t="shared" si="142"/>
        <v>72518.696332953405</v>
      </c>
      <c r="R189" s="1364">
        <f t="shared" si="166"/>
        <v>36424.755008272172</v>
      </c>
      <c r="S189" s="576">
        <f t="shared" si="143"/>
        <v>1.0724765819903233</v>
      </c>
      <c r="T189" s="135" t="str">
        <f t="shared" si="144"/>
        <v>No</v>
      </c>
      <c r="U189" s="1091">
        <f t="shared" si="145"/>
        <v>1</v>
      </c>
      <c r="V189" s="1494">
        <f t="shared" si="136"/>
        <v>73708.725155111606</v>
      </c>
      <c r="W189" s="1491">
        <f t="shared" si="137"/>
        <v>0.31543238100002513</v>
      </c>
      <c r="X189" s="527">
        <f t="shared" si="146"/>
        <v>38555.479214800216</v>
      </c>
      <c r="Y189" s="1509">
        <f t="shared" si="147"/>
        <v>13461.505830415459</v>
      </c>
      <c r="Z189" s="1531">
        <f t="shared" si="148"/>
        <v>3485.8660805942818</v>
      </c>
      <c r="AA189" s="1531">
        <f t="shared" si="149"/>
        <v>0</v>
      </c>
      <c r="AB189" s="1531">
        <f t="shared" si="150"/>
        <v>18205.874029301649</v>
      </c>
      <c r="AC189" s="1531">
        <f t="shared" si="151"/>
        <v>73708.725155111606</v>
      </c>
      <c r="AD189" s="1487">
        <f t="shared" si="152"/>
        <v>2461.5378901189833</v>
      </c>
      <c r="AE189" s="1454">
        <f t="shared" si="153"/>
        <v>0.52307890461630702</v>
      </c>
      <c r="AF189" s="1504">
        <f t="shared" si="154"/>
        <v>0.1826311037409378</v>
      </c>
      <c r="AG189" s="1504">
        <f t="shared" si="155"/>
        <v>4.729244839411717E-2</v>
      </c>
      <c r="AH189" s="1504">
        <f t="shared" si="167"/>
        <v>0</v>
      </c>
      <c r="AI189" s="1504">
        <f t="shared" si="156"/>
        <v>0.24699754324863799</v>
      </c>
      <c r="AJ189" s="1541">
        <f t="shared" si="157"/>
        <v>1</v>
      </c>
      <c r="AK189" s="1555">
        <f t="shared" si="158"/>
        <v>38555.479214800216</v>
      </c>
      <c r="AL189" s="1556">
        <f t="shared" si="159"/>
        <v>0</v>
      </c>
      <c r="AM189" s="1556">
        <f t="shared" si="160"/>
        <v>0</v>
      </c>
      <c r="AN189" s="1498">
        <f t="shared" si="161"/>
        <v>38555.479214800216</v>
      </c>
      <c r="AO189" s="1184">
        <f t="shared" si="162"/>
        <v>0</v>
      </c>
    </row>
    <row r="190" spans="1:41">
      <c r="A190" s="127">
        <f>'Input data'!A130</f>
        <v>2030</v>
      </c>
      <c r="B190" s="1551">
        <f>'Input data'!B130</f>
        <v>65.956090000000003</v>
      </c>
      <c r="C190" s="1550">
        <f>'Input data'!C130</f>
        <v>5124.9200809700387</v>
      </c>
      <c r="D190" s="1509">
        <f>'Input data'!E130</f>
        <v>46124498.893218428</v>
      </c>
      <c r="E190" s="1508">
        <f>'Input data'!J130*C190</f>
        <v>61658.147327921863</v>
      </c>
      <c r="F190" s="1509">
        <f>'Input data'!L130</f>
        <v>107782.64622114028</v>
      </c>
      <c r="G190" s="1509">
        <f>G177*(1-$C$4)</f>
        <v>34219.854173807704</v>
      </c>
      <c r="H190" s="1509">
        <f t="shared" si="135"/>
        <v>44445.670045405059</v>
      </c>
      <c r="I190" s="1511">
        <f t="shared" si="138"/>
        <v>46124.498893218428</v>
      </c>
      <c r="J190" s="1504">
        <v>0.2</v>
      </c>
      <c r="K190" s="1512">
        <f t="shared" si="164"/>
        <v>6386.0411779308488</v>
      </c>
      <c r="L190" s="1512">
        <f t="shared" si="140"/>
        <v>0</v>
      </c>
      <c r="M190" s="1511">
        <f t="shared" si="165"/>
        <v>6386.0411779308488</v>
      </c>
      <c r="N190" s="1454">
        <f t="shared" si="169"/>
        <v>0.5</v>
      </c>
      <c r="O190" s="530">
        <f t="shared" si="141"/>
        <v>751.91700000000026</v>
      </c>
      <c r="P190" s="1481">
        <f t="shared" si="168"/>
        <v>7137.9581779308492</v>
      </c>
      <c r="Q190" s="1364">
        <f t="shared" si="142"/>
        <v>71527.566041281912</v>
      </c>
      <c r="R190" s="1364">
        <f t="shared" si="166"/>
        <v>37307.711867474209</v>
      </c>
      <c r="S190" s="576">
        <f t="shared" si="143"/>
        <v>1.0773867246217179</v>
      </c>
      <c r="T190" s="135" t="str">
        <f t="shared" si="144"/>
        <v>No</v>
      </c>
      <c r="U190" s="1091">
        <f t="shared" si="145"/>
        <v>1</v>
      </c>
      <c r="V190" s="1494">
        <f t="shared" si="136"/>
        <v>73154.679294433125</v>
      </c>
      <c r="W190" s="1491">
        <f t="shared" si="137"/>
        <v>0.3212759023902616</v>
      </c>
      <c r="X190" s="527">
        <f t="shared" si="146"/>
        <v>36899.599114574747</v>
      </c>
      <c r="Y190" s="1509">
        <f t="shared" si="147"/>
        <v>14162.36960687618</v>
      </c>
      <c r="Z190" s="1531">
        <f t="shared" si="148"/>
        <v>3538.217660793739</v>
      </c>
      <c r="AA190" s="1531">
        <f t="shared" si="149"/>
        <v>0</v>
      </c>
      <c r="AB190" s="1531">
        <f t="shared" si="150"/>
        <v>18554.49291218846</v>
      </c>
      <c r="AC190" s="1531">
        <f t="shared" si="151"/>
        <v>73154.679294433125</v>
      </c>
      <c r="AD190" s="1487">
        <f t="shared" si="152"/>
        <v>2679.7449407670429</v>
      </c>
      <c r="AE190" s="1454">
        <f t="shared" si="153"/>
        <v>0.50440517914187222</v>
      </c>
      <c r="AF190" s="1504">
        <f t="shared" si="154"/>
        <v>0.19359485604298041</v>
      </c>
      <c r="AG190" s="1504">
        <f t="shared" si="155"/>
        <v>4.8366252096507897E-2</v>
      </c>
      <c r="AH190" s="1504">
        <f t="shared" si="167"/>
        <v>0</v>
      </c>
      <c r="AI190" s="1504">
        <f t="shared" si="156"/>
        <v>0.25363371271863955</v>
      </c>
      <c r="AJ190" s="1541">
        <f t="shared" si="157"/>
        <v>1</v>
      </c>
      <c r="AK190" s="1555">
        <f t="shared" si="158"/>
        <v>36899.599114574739</v>
      </c>
      <c r="AL190" s="1556">
        <f t="shared" si="159"/>
        <v>0</v>
      </c>
      <c r="AM190" s="1556">
        <f t="shared" si="160"/>
        <v>0</v>
      </c>
      <c r="AN190" s="1498">
        <f t="shared" si="161"/>
        <v>36899.599114574739</v>
      </c>
      <c r="AO190" s="1184">
        <f t="shared" si="162"/>
        <v>0</v>
      </c>
    </row>
    <row r="191" spans="1:41">
      <c r="A191" s="127">
        <f>'Input data'!A131</f>
        <v>2031</v>
      </c>
      <c r="B191" s="1551">
        <f>'Input data'!B131</f>
        <v>66.518977190687664</v>
      </c>
      <c r="C191" s="1550">
        <f>'Input data'!C131</f>
        <v>5062.3234119259168</v>
      </c>
      <c r="D191" s="1509">
        <f>'Input data'!E131</f>
        <v>43997076.132191785</v>
      </c>
      <c r="E191" s="1508">
        <f>'Input data'!J131*C191</f>
        <v>60905.0439465655</v>
      </c>
      <c r="F191" s="1509">
        <f>'Input data'!L131</f>
        <v>104902.12007875729</v>
      </c>
      <c r="G191" s="1509">
        <f>$G$150*(1+((($G$160/$G$150)^(1/($A$160-$A$150)))-1))^(A191-$A$150)</f>
        <v>33020.827958397946</v>
      </c>
      <c r="H191" s="1509">
        <f t="shared" si="135"/>
        <v>43216.075477643084</v>
      </c>
      <c r="I191" s="1511">
        <f t="shared" si="138"/>
        <v>43997.076132191782</v>
      </c>
      <c r="J191" s="1504">
        <f t="shared" ref="J191:J210" si="170">J190</f>
        <v>0.2</v>
      </c>
      <c r="K191" s="1512">
        <f t="shared" si="164"/>
        <v>6091.4946857025934</v>
      </c>
      <c r="L191" s="1512">
        <f t="shared" si="140"/>
        <v>0</v>
      </c>
      <c r="M191" s="1511">
        <f t="shared" si="165"/>
        <v>6091.4946857025934</v>
      </c>
      <c r="N191" s="1454">
        <f t="shared" si="169"/>
        <v>0.5</v>
      </c>
      <c r="O191" s="530">
        <f t="shared" si="141"/>
        <v>751.91700000000026</v>
      </c>
      <c r="P191" s="1481">
        <f t="shared" si="168"/>
        <v>6843.4116857025938</v>
      </c>
      <c r="Q191" s="1364">
        <f t="shared" si="142"/>
        <v>69393.491750338435</v>
      </c>
      <c r="R191" s="1364">
        <f t="shared" si="166"/>
        <v>36372.663791940489</v>
      </c>
      <c r="S191" s="576">
        <f t="shared" si="143"/>
        <v>1.0636578463979678</v>
      </c>
      <c r="T191" s="135" t="str">
        <f t="shared" si="144"/>
        <v>No</v>
      </c>
      <c r="U191" s="1091">
        <f t="shared" si="145"/>
        <v>1</v>
      </c>
      <c r="V191" s="1494">
        <f t="shared" si="136"/>
        <v>70706.289234172276</v>
      </c>
      <c r="W191" s="1491">
        <f t="shared" si="137"/>
        <v>0.32597845323728281</v>
      </c>
      <c r="X191" s="527">
        <f t="shared" si="146"/>
        <v>35197.66090575343</v>
      </c>
      <c r="Y191" s="1509">
        <f t="shared" si="147"/>
        <v>13676.577935755797</v>
      </c>
      <c r="Z191" s="1531">
        <f t="shared" si="148"/>
        <v>3504.1852978367515</v>
      </c>
      <c r="AA191" s="1531">
        <f t="shared" si="149"/>
        <v>0</v>
      </c>
      <c r="AB191" s="1531">
        <f t="shared" si="150"/>
        <v>18327.865094826295</v>
      </c>
      <c r="AC191" s="1531">
        <f t="shared" si="151"/>
        <v>70706.289234172276</v>
      </c>
      <c r="AD191" s="1487">
        <f t="shared" si="152"/>
        <v>2176.8329473554841</v>
      </c>
      <c r="AE191" s="1454">
        <f t="shared" si="153"/>
        <v>0.49780099177857062</v>
      </c>
      <c r="AF191" s="1504">
        <f t="shared" si="154"/>
        <v>0.19342802576529389</v>
      </c>
      <c r="AG191" s="1504">
        <f t="shared" si="155"/>
        <v>4.9559739816513841E-2</v>
      </c>
      <c r="AH191" s="1504">
        <f t="shared" si="167"/>
        <v>0</v>
      </c>
      <c r="AI191" s="1504">
        <f t="shared" si="156"/>
        <v>0.25921124263962159</v>
      </c>
      <c r="AJ191" s="1541">
        <f t="shared" si="157"/>
        <v>0.99999999999999989</v>
      </c>
      <c r="AK191" s="1555">
        <f t="shared" si="158"/>
        <v>35197.660905753422</v>
      </c>
      <c r="AL191" s="1556">
        <f t="shared" si="159"/>
        <v>0</v>
      </c>
      <c r="AM191" s="1556">
        <f t="shared" si="160"/>
        <v>0</v>
      </c>
      <c r="AN191" s="1498">
        <f t="shared" si="161"/>
        <v>35197.660905753422</v>
      </c>
      <c r="AO191" s="1184">
        <f t="shared" si="162"/>
        <v>0</v>
      </c>
    </row>
    <row r="192" spans="1:41">
      <c r="A192" s="127">
        <f>'Input data'!A132</f>
        <v>2032</v>
      </c>
      <c r="B192" s="1551">
        <f>'Input data'!B132</f>
        <v>67.08666821358311</v>
      </c>
      <c r="C192" s="1550">
        <f>'Input data'!C132</f>
        <v>5235.9881649481622</v>
      </c>
      <c r="D192" s="1509">
        <f>'Input data'!E132</f>
        <v>43370376.757557131</v>
      </c>
      <c r="E192" s="1508">
        <f>'Input data'!J132*C192</f>
        <v>62994.412513945383</v>
      </c>
      <c r="F192" s="1509">
        <f>'Input data'!L132</f>
        <v>106364.78927150252</v>
      </c>
      <c r="G192" s="1509">
        <f t="shared" ref="G192:G199" si="171">$G$150*(1+((($G$160/$G$150)^(1/($A$160-$A$150)))-1))^(A192-$A$150)</f>
        <v>31863.814308498775</v>
      </c>
      <c r="H192" s="1509">
        <f t="shared" si="135"/>
        <v>44983.856241917827</v>
      </c>
      <c r="I192" s="1511">
        <f t="shared" si="138"/>
        <v>43370.376757557133</v>
      </c>
      <c r="J192" s="1504">
        <f t="shared" si="170"/>
        <v>0.2</v>
      </c>
      <c r="K192" s="1512">
        <f t="shared" si="164"/>
        <v>6004.72674006343</v>
      </c>
      <c r="L192" s="1512">
        <f t="shared" si="140"/>
        <v>0</v>
      </c>
      <c r="M192" s="1511">
        <f t="shared" si="165"/>
        <v>6004.72674006343</v>
      </c>
      <c r="N192" s="1454">
        <f t="shared" si="169"/>
        <v>0.5</v>
      </c>
      <c r="O192" s="530">
        <f t="shared" si="141"/>
        <v>751.91700000000026</v>
      </c>
      <c r="P192" s="1481">
        <f t="shared" si="168"/>
        <v>6756.6437400634304</v>
      </c>
      <c r="Q192" s="1364">
        <f t="shared" si="142"/>
        <v>70091.026810353171</v>
      </c>
      <c r="R192" s="1364">
        <f t="shared" si="166"/>
        <v>38227.212501854396</v>
      </c>
      <c r="S192" s="576">
        <f t="shared" si="143"/>
        <v>1.0800256836348341</v>
      </c>
      <c r="T192" s="135" t="str">
        <f t="shared" si="144"/>
        <v>No</v>
      </c>
      <c r="U192" s="1091">
        <f t="shared" si="145"/>
        <v>1</v>
      </c>
      <c r="V192" s="1494">
        <f t="shared" si="136"/>
        <v>70970.063867195044</v>
      </c>
      <c r="W192" s="1491">
        <f t="shared" si="137"/>
        <v>0.33276731563826367</v>
      </c>
      <c r="X192" s="527">
        <f t="shared" si="146"/>
        <v>34696.301406045706</v>
      </c>
      <c r="Y192" s="1509">
        <f t="shared" si="147"/>
        <v>13718.550811999121</v>
      </c>
      <c r="Z192" s="1531">
        <f t="shared" si="148"/>
        <v>3598.6028123457536</v>
      </c>
      <c r="AA192" s="1531">
        <f t="shared" si="149"/>
        <v>0</v>
      </c>
      <c r="AB192" s="1531">
        <f t="shared" si="150"/>
        <v>18956.608836804473</v>
      </c>
      <c r="AC192" s="1531">
        <f t="shared" si="151"/>
        <v>70970.063867195044</v>
      </c>
      <c r="AD192" s="1487">
        <f t="shared" si="152"/>
        <v>2832.4870975469312</v>
      </c>
      <c r="AE192" s="1454">
        <f t="shared" si="153"/>
        <v>0.48888643345414268</v>
      </c>
      <c r="AF192" s="1504">
        <f t="shared" si="154"/>
        <v>0.19330052791935468</v>
      </c>
      <c r="AG192" s="1504">
        <f t="shared" si="155"/>
        <v>5.0705926080040618E-2</v>
      </c>
      <c r="AH192" s="1504">
        <f t="shared" si="167"/>
        <v>0</v>
      </c>
      <c r="AI192" s="1504">
        <f t="shared" si="156"/>
        <v>0.26710711254646213</v>
      </c>
      <c r="AJ192" s="1541">
        <f t="shared" si="157"/>
        <v>1</v>
      </c>
      <c r="AK192" s="1555">
        <f t="shared" si="158"/>
        <v>34696.301406045706</v>
      </c>
      <c r="AL192" s="1556">
        <f t="shared" si="159"/>
        <v>0</v>
      </c>
      <c r="AM192" s="1556">
        <f t="shared" si="160"/>
        <v>0</v>
      </c>
      <c r="AN192" s="1498">
        <f t="shared" si="161"/>
        <v>34696.301406045706</v>
      </c>
      <c r="AO192" s="1184">
        <f t="shared" si="162"/>
        <v>0</v>
      </c>
    </row>
    <row r="193" spans="1:41">
      <c r="A193" s="127">
        <f>'Input data'!A133</f>
        <v>2033</v>
      </c>
      <c r="B193" s="1551">
        <f>'Input data'!B133</f>
        <v>67.659204065895452</v>
      </c>
      <c r="C193" s="1550">
        <f>'Input data'!C133</f>
        <v>5403.9196893114931</v>
      </c>
      <c r="D193" s="1509">
        <f>'Input data'!E133</f>
        <v>42244930.407056943</v>
      </c>
      <c r="E193" s="1508">
        <f>'Input data'!J133*C193</f>
        <v>65014.804345740915</v>
      </c>
      <c r="F193" s="1509">
        <f>'Input data'!L133</f>
        <v>107259.73475279786</v>
      </c>
      <c r="G193" s="1509">
        <f t="shared" si="171"/>
        <v>30747.341149823493</v>
      </c>
      <c r="H193" s="1509">
        <f t="shared" si="135"/>
        <v>46203.466945624154</v>
      </c>
      <c r="I193" s="1511">
        <f t="shared" si="138"/>
        <v>42244.930407056941</v>
      </c>
      <c r="J193" s="1504">
        <f t="shared" si="170"/>
        <v>0.2</v>
      </c>
      <c r="K193" s="1512">
        <f t="shared" si="164"/>
        <v>5848.9061477468622</v>
      </c>
      <c r="L193" s="1512">
        <f t="shared" si="140"/>
        <v>0</v>
      </c>
      <c r="M193" s="1511">
        <f t="shared" si="165"/>
        <v>5848.9061477468622</v>
      </c>
      <c r="N193" s="1454">
        <f t="shared" si="169"/>
        <v>0.5</v>
      </c>
      <c r="O193" s="530">
        <f t="shared" si="141"/>
        <v>751.91700000000026</v>
      </c>
      <c r="P193" s="1481">
        <f t="shared" si="168"/>
        <v>6600.8231477468626</v>
      </c>
      <c r="Q193" s="1364">
        <f t="shared" si="142"/>
        <v>70349.984947700781</v>
      </c>
      <c r="R193" s="1364">
        <f t="shared" si="166"/>
        <v>39602.643797877288</v>
      </c>
      <c r="S193" s="576">
        <f t="shared" si="143"/>
        <v>1.0833998957144744</v>
      </c>
      <c r="T193" s="135" t="str">
        <f t="shared" si="144"/>
        <v>No</v>
      </c>
      <c r="U193" s="1091">
        <f t="shared" si="145"/>
        <v>1</v>
      </c>
      <c r="V193" s="1494">
        <f t="shared" si="136"/>
        <v>70705.694130742631</v>
      </c>
      <c r="W193" s="1491">
        <f t="shared" si="137"/>
        <v>0.34079928228707201</v>
      </c>
      <c r="X193" s="527">
        <f t="shared" si="146"/>
        <v>33795.944325645556</v>
      </c>
      <c r="Y193" s="1509">
        <f t="shared" si="147"/>
        <v>13655.250764297278</v>
      </c>
      <c r="Z193" s="1531">
        <f t="shared" si="148"/>
        <v>3689.9033028722483</v>
      </c>
      <c r="AA193" s="1531">
        <f t="shared" si="149"/>
        <v>0</v>
      </c>
      <c r="AB193" s="1531">
        <f t="shared" si="150"/>
        <v>19564.595737927553</v>
      </c>
      <c r="AC193" s="1531">
        <f t="shared" si="151"/>
        <v>70705.694130742631</v>
      </c>
      <c r="AD193" s="1487">
        <f t="shared" si="152"/>
        <v>3048.6031758220633</v>
      </c>
      <c r="AE193" s="1454">
        <f t="shared" si="153"/>
        <v>0.4779805182755596</v>
      </c>
      <c r="AF193" s="1504">
        <f t="shared" si="154"/>
        <v>0.19312802076516231</v>
      </c>
      <c r="AG193" s="1504">
        <f t="shared" si="155"/>
        <v>5.2186791293629194E-2</v>
      </c>
      <c r="AH193" s="1504">
        <f t="shared" si="167"/>
        <v>0</v>
      </c>
      <c r="AI193" s="1504">
        <f t="shared" si="156"/>
        <v>0.27670466966564894</v>
      </c>
      <c r="AJ193" s="1541">
        <f t="shared" si="157"/>
        <v>1</v>
      </c>
      <c r="AK193" s="1555">
        <f t="shared" si="158"/>
        <v>33795.944325645549</v>
      </c>
      <c r="AL193" s="1556">
        <f t="shared" si="159"/>
        <v>0</v>
      </c>
      <c r="AM193" s="1556">
        <f t="shared" si="160"/>
        <v>0</v>
      </c>
      <c r="AN193" s="1498">
        <f t="shared" si="161"/>
        <v>33795.944325645549</v>
      </c>
      <c r="AO193" s="1184">
        <f t="shared" si="162"/>
        <v>0</v>
      </c>
    </row>
    <row r="194" spans="1:41">
      <c r="A194" s="127">
        <f>'Input data'!A134</f>
        <v>2034</v>
      </c>
      <c r="B194" s="1551">
        <f>'Input data'!B134</f>
        <v>68.236626094715163</v>
      </c>
      <c r="C194" s="1550">
        <f>'Input data'!C134</f>
        <v>5610.4237500420486</v>
      </c>
      <c r="D194" s="1509">
        <f>'Input data'!E134</f>
        <v>40465875.003352016</v>
      </c>
      <c r="E194" s="1508">
        <f>'Input data'!J134*C194</f>
        <v>67499.264122512439</v>
      </c>
      <c r="F194" s="1509">
        <f>'Input data'!L134</f>
        <v>107965.13912586446</v>
      </c>
      <c r="G194" s="1509">
        <f t="shared" si="171"/>
        <v>29669.987987956312</v>
      </c>
      <c r="H194" s="1509">
        <f t="shared" si="135"/>
        <v>47036.862249337821</v>
      </c>
      <c r="I194" s="1511">
        <f t="shared" si="138"/>
        <v>40465.875003352019</v>
      </c>
      <c r="J194" s="1504">
        <f t="shared" si="170"/>
        <v>0.2</v>
      </c>
      <c r="K194" s="1512">
        <f t="shared" si="164"/>
        <v>5602.5919039394266</v>
      </c>
      <c r="L194" s="1512">
        <f t="shared" si="140"/>
        <v>0</v>
      </c>
      <c r="M194" s="1511">
        <f t="shared" si="165"/>
        <v>5602.5919039394266</v>
      </c>
      <c r="N194" s="1454">
        <f t="shared" si="169"/>
        <v>0.5</v>
      </c>
      <c r="O194" s="530">
        <f t="shared" si="141"/>
        <v>751.91700000000026</v>
      </c>
      <c r="P194" s="1481">
        <f t="shared" si="168"/>
        <v>6354.508903939427</v>
      </c>
      <c r="Q194" s="1364">
        <f t="shared" si="142"/>
        <v>70352.341333354707</v>
      </c>
      <c r="R194" s="1364">
        <f t="shared" si="166"/>
        <v>40682.353345398398</v>
      </c>
      <c r="S194" s="576">
        <f t="shared" si="143"/>
        <v>1.0711621258135091</v>
      </c>
      <c r="T194" s="135" t="str">
        <f t="shared" si="144"/>
        <v>No</v>
      </c>
      <c r="U194" s="1091">
        <f t="shared" si="145"/>
        <v>1</v>
      </c>
      <c r="V194" s="1494">
        <f t="shared" si="136"/>
        <v>69985.497795191375</v>
      </c>
      <c r="W194" s="1491">
        <f t="shared" si="137"/>
        <v>0.35177689426581371</v>
      </c>
      <c r="X194" s="527">
        <f t="shared" si="146"/>
        <v>32372.700002681617</v>
      </c>
      <c r="Y194" s="1509">
        <f t="shared" si="147"/>
        <v>13498.390604381504</v>
      </c>
      <c r="Z194" s="1531">
        <f t="shared" si="148"/>
        <v>3802.1747903841533</v>
      </c>
      <c r="AA194" s="1531">
        <f t="shared" si="149"/>
        <v>0</v>
      </c>
      <c r="AB194" s="1531">
        <f t="shared" si="150"/>
        <v>20312.232397744108</v>
      </c>
      <c r="AC194" s="1531">
        <f t="shared" si="151"/>
        <v>69985.497795191375</v>
      </c>
      <c r="AD194" s="1487">
        <f t="shared" si="152"/>
        <v>2702.7120147253045</v>
      </c>
      <c r="AE194" s="1454">
        <f t="shared" si="153"/>
        <v>0.46256297408098035</v>
      </c>
      <c r="AF194" s="1504">
        <f t="shared" si="154"/>
        <v>0.19287411006039831</v>
      </c>
      <c r="AG194" s="1504">
        <f t="shared" si="155"/>
        <v>5.4328038095992459E-2</v>
      </c>
      <c r="AH194" s="1504">
        <f t="shared" si="167"/>
        <v>0</v>
      </c>
      <c r="AI194" s="1504">
        <f t="shared" si="156"/>
        <v>0.29023487776262896</v>
      </c>
      <c r="AJ194" s="1541">
        <f t="shared" si="157"/>
        <v>1</v>
      </c>
      <c r="AK194" s="1555">
        <f t="shared" si="158"/>
        <v>32372.700002681609</v>
      </c>
      <c r="AL194" s="1556">
        <f t="shared" si="159"/>
        <v>0</v>
      </c>
      <c r="AM194" s="1556">
        <f t="shared" si="160"/>
        <v>0</v>
      </c>
      <c r="AN194" s="1498">
        <f t="shared" si="161"/>
        <v>32372.700002681609</v>
      </c>
      <c r="AO194" s="1184">
        <f t="shared" si="162"/>
        <v>0</v>
      </c>
    </row>
    <row r="195" spans="1:41">
      <c r="A195" s="127">
        <f>'Input data'!A135</f>
        <v>2035</v>
      </c>
      <c r="B195" s="1551">
        <f>'Input data'!B135</f>
        <v>68.818976000000006</v>
      </c>
      <c r="C195" s="1550">
        <f>'Input data'!C135</f>
        <v>5785.6697548645852</v>
      </c>
      <c r="D195" s="1509">
        <f>'Input data'!E135</f>
        <v>33374025.316822052</v>
      </c>
      <c r="E195" s="1508">
        <f>'Input data'!J135*C195</f>
        <v>69607.656802449113</v>
      </c>
      <c r="F195" s="1509">
        <f>'Input data'!L135</f>
        <v>102981.68211927116</v>
      </c>
      <c r="G195" s="1509">
        <f t="shared" si="171"/>
        <v>28630.384101050156</v>
      </c>
      <c r="H195" s="1509">
        <f t="shared" si="135"/>
        <v>42630.914491331023</v>
      </c>
      <c r="I195" s="1511">
        <f t="shared" si="138"/>
        <v>33374.025316822052</v>
      </c>
      <c r="J195" s="1504">
        <f t="shared" si="170"/>
        <v>0.2</v>
      </c>
      <c r="K195" s="1512">
        <f t="shared" si="164"/>
        <v>4620.7092772961896</v>
      </c>
      <c r="L195" s="1512">
        <f t="shared" si="140"/>
        <v>0</v>
      </c>
      <c r="M195" s="1511">
        <f t="shared" si="165"/>
        <v>4620.7092772961896</v>
      </c>
      <c r="N195" s="1454">
        <f t="shared" si="169"/>
        <v>0.5</v>
      </c>
      <c r="O195" s="530">
        <f t="shared" si="141"/>
        <v>751.91700000000026</v>
      </c>
      <c r="P195" s="1481">
        <f t="shared" si="168"/>
        <v>5372.62627729619</v>
      </c>
      <c r="Q195" s="1364">
        <f t="shared" si="142"/>
        <v>65888.672315084987</v>
      </c>
      <c r="R195" s="1364">
        <f t="shared" si="166"/>
        <v>37258.28821403483</v>
      </c>
      <c r="S195" s="576">
        <f t="shared" si="143"/>
        <v>0.95072235650154879</v>
      </c>
      <c r="T195" s="135" t="str">
        <f t="shared" si="144"/>
        <v>Yes</v>
      </c>
      <c r="U195" s="1091">
        <f t="shared" si="145"/>
        <v>0.95072235650154879</v>
      </c>
      <c r="V195" s="1494">
        <f t="shared" si="136"/>
        <v>65723.393905236357</v>
      </c>
      <c r="W195" s="1491">
        <f t="shared" si="137"/>
        <v>0.36179529647693132</v>
      </c>
      <c r="X195" s="527">
        <f t="shared" si="146"/>
        <v>28630.38410105016</v>
      </c>
      <c r="Y195" s="1509">
        <f t="shared" si="147"/>
        <v>12248.856833817412</v>
      </c>
      <c r="Z195" s="1531">
        <f t="shared" si="148"/>
        <v>3897.4519949695709</v>
      </c>
      <c r="AA195" s="1531">
        <f t="shared" si="149"/>
        <v>0</v>
      </c>
      <c r="AB195" s="1531">
        <f t="shared" si="150"/>
        <v>20946.70097539921</v>
      </c>
      <c r="AC195" s="1531">
        <f t="shared" si="151"/>
        <v>65723.393905236357</v>
      </c>
      <c r="AD195" s="1487">
        <f t="shared" si="152"/>
        <v>0</v>
      </c>
      <c r="AE195" s="1454">
        <f t="shared" si="153"/>
        <v>0.4356193799475882</v>
      </c>
      <c r="AF195" s="1504">
        <f t="shared" si="154"/>
        <v>0.18636981607307887</v>
      </c>
      <c r="AG195" s="1504">
        <f t="shared" si="155"/>
        <v>5.9300832829618233E-2</v>
      </c>
      <c r="AH195" s="1504">
        <f t="shared" si="167"/>
        <v>0</v>
      </c>
      <c r="AI195" s="1504">
        <f t="shared" si="156"/>
        <v>0.31870997114971461</v>
      </c>
      <c r="AJ195" s="1541">
        <f t="shared" si="157"/>
        <v>0.99999999999999978</v>
      </c>
      <c r="AK195" s="1555">
        <f t="shared" si="158"/>
        <v>26699.220253457643</v>
      </c>
      <c r="AL195" s="1556">
        <f t="shared" si="159"/>
        <v>1830.687191198502</v>
      </c>
      <c r="AM195" s="1556">
        <f t="shared" si="160"/>
        <v>100.47665639401346</v>
      </c>
      <c r="AN195" s="1498">
        <f t="shared" si="161"/>
        <v>28630.38410105016</v>
      </c>
      <c r="AO195" s="1184">
        <f t="shared" si="162"/>
        <v>0</v>
      </c>
    </row>
    <row r="196" spans="1:41">
      <c r="A196" s="127">
        <f>'Input data'!A136</f>
        <v>2036</v>
      </c>
      <c r="B196" s="1551">
        <f>'Input data'!B136</f>
        <v>69.322810489383542</v>
      </c>
      <c r="C196" s="1550">
        <f>'Input data'!C136</f>
        <v>5959.8602057408698</v>
      </c>
      <c r="D196" s="1509">
        <f>'Input data'!E136</f>
        <v>24482482.614495005</v>
      </c>
      <c r="E196" s="1508">
        <f>'Input data'!J136*C196</f>
        <v>71703.35006469686</v>
      </c>
      <c r="F196" s="1509">
        <f>'Input data'!L136</f>
        <v>96185.832679191866</v>
      </c>
      <c r="G196" s="1509">
        <f t="shared" si="171"/>
        <v>27627.206795850379</v>
      </c>
      <c r="H196" s="1509">
        <f t="shared" si="135"/>
        <v>36492.327154822138</v>
      </c>
      <c r="I196" s="1511">
        <f t="shared" si="138"/>
        <v>24482.482614495006</v>
      </c>
      <c r="J196" s="1504">
        <f t="shared" si="170"/>
        <v>0.2</v>
      </c>
      <c r="K196" s="1512">
        <f t="shared" si="164"/>
        <v>3389.6550827813626</v>
      </c>
      <c r="L196" s="1512">
        <f t="shared" si="140"/>
        <v>0</v>
      </c>
      <c r="M196" s="1511">
        <f t="shared" si="165"/>
        <v>3389.6550827813626</v>
      </c>
      <c r="N196" s="1454">
        <f t="shared" si="169"/>
        <v>0.5</v>
      </c>
      <c r="O196" s="530">
        <f t="shared" si="141"/>
        <v>751.91700000000026</v>
      </c>
      <c r="P196" s="1481">
        <f t="shared" si="168"/>
        <v>4141.572082781363</v>
      </c>
      <c r="Q196" s="1364">
        <f t="shared" si="142"/>
        <v>59977.96186789115</v>
      </c>
      <c r="R196" s="1364">
        <f t="shared" si="166"/>
        <v>32350.755072040771</v>
      </c>
      <c r="S196" s="576">
        <f t="shared" si="143"/>
        <v>0.80092034247620214</v>
      </c>
      <c r="T196" s="135" t="str">
        <f t="shared" si="144"/>
        <v>Yes</v>
      </c>
      <c r="U196" s="1091">
        <f t="shared" si="145"/>
        <v>0.80092034247620214</v>
      </c>
      <c r="V196" s="1494">
        <f t="shared" si="136"/>
        <v>63835.077607151106</v>
      </c>
      <c r="W196" s="1491">
        <f t="shared" si="137"/>
        <v>0.33633596727222892</v>
      </c>
      <c r="X196" s="527">
        <f t="shared" si="146"/>
        <v>27627.206795850383</v>
      </c>
      <c r="Y196" s="1509">
        <f t="shared" si="147"/>
        <v>10638.36751433097</v>
      </c>
      <c r="Z196" s="1531">
        <f t="shared" si="148"/>
        <v>3992.1553192580318</v>
      </c>
      <c r="AA196" s="1531">
        <f t="shared" si="149"/>
        <v>0</v>
      </c>
      <c r="AB196" s="1531">
        <f t="shared" si="150"/>
        <v>21577.347977711717</v>
      </c>
      <c r="AC196" s="1531">
        <f t="shared" si="151"/>
        <v>63835.077607151106</v>
      </c>
      <c r="AD196" s="1487">
        <f t="shared" si="152"/>
        <v>0</v>
      </c>
      <c r="AE196" s="1454">
        <f t="shared" si="153"/>
        <v>0.43279036904868512</v>
      </c>
      <c r="AF196" s="1504">
        <f t="shared" si="154"/>
        <v>0.16665394502691433</v>
      </c>
      <c r="AG196" s="1504">
        <f t="shared" si="155"/>
        <v>6.2538583313491755E-2</v>
      </c>
      <c r="AH196" s="1504">
        <f t="shared" si="167"/>
        <v>0</v>
      </c>
      <c r="AI196" s="1504">
        <f t="shared" si="156"/>
        <v>0.33801710261090873</v>
      </c>
      <c r="AJ196" s="1541">
        <f t="shared" si="157"/>
        <v>0.99999999999999978</v>
      </c>
      <c r="AK196" s="1555">
        <f t="shared" si="158"/>
        <v>19585.986091596005</v>
      </c>
      <c r="AL196" s="1556">
        <f t="shared" si="159"/>
        <v>7618.571172649612</v>
      </c>
      <c r="AM196" s="1556">
        <f t="shared" si="160"/>
        <v>422.64953160476443</v>
      </c>
      <c r="AN196" s="1498">
        <f t="shared" si="161"/>
        <v>27627.206795850383</v>
      </c>
      <c r="AO196" s="1184">
        <f t="shared" si="162"/>
        <v>0</v>
      </c>
    </row>
    <row r="197" spans="1:41">
      <c r="A197" s="127">
        <f>'Input data'!A137</f>
        <v>2037</v>
      </c>
      <c r="B197" s="1551">
        <f>'Input data'!B137</f>
        <v>69.830333629884052</v>
      </c>
      <c r="C197" s="1550">
        <f>'Input data'!C137</f>
        <v>6149.2553125491713</v>
      </c>
      <c r="D197" s="1509">
        <f>'Input data'!E137</f>
        <v>21483552.95875904</v>
      </c>
      <c r="E197" s="1508">
        <f>'Input data'!J137*C197</f>
        <v>73981.971236202691</v>
      </c>
      <c r="F197" s="1509">
        <f>'Input data'!L137</f>
        <v>95465.524194961734</v>
      </c>
      <c r="G197" s="1509">
        <f t="shared" si="171"/>
        <v>26659.179724825448</v>
      </c>
      <c r="H197" s="1509">
        <f t="shared" si="135"/>
        <v>35953.490960026786</v>
      </c>
      <c r="I197" s="1511">
        <f t="shared" si="138"/>
        <v>21483.552958759039</v>
      </c>
      <c r="J197" s="1504">
        <f t="shared" si="170"/>
        <v>0.2</v>
      </c>
      <c r="K197" s="1512">
        <f t="shared" si="164"/>
        <v>2974.446490150699</v>
      </c>
      <c r="L197" s="1512">
        <f t="shared" si="140"/>
        <v>0</v>
      </c>
      <c r="M197" s="1511">
        <f t="shared" si="165"/>
        <v>2974.446490150699</v>
      </c>
      <c r="N197" s="1454">
        <f t="shared" si="169"/>
        <v>0.5</v>
      </c>
      <c r="O197" s="530">
        <f t="shared" si="141"/>
        <v>751.91700000000026</v>
      </c>
      <c r="P197" s="1481">
        <f t="shared" si="168"/>
        <v>3726.3634901506994</v>
      </c>
      <c r="Q197" s="1364">
        <f t="shared" si="142"/>
        <v>58886.307194701527</v>
      </c>
      <c r="R197" s="1364">
        <f t="shared" si="166"/>
        <v>32227.127469876079</v>
      </c>
      <c r="S197" s="576">
        <f t="shared" si="143"/>
        <v>0.77284271160412465</v>
      </c>
      <c r="T197" s="135" t="str">
        <f t="shared" si="144"/>
        <v>Yes</v>
      </c>
      <c r="U197" s="1091">
        <f t="shared" si="145"/>
        <v>0.77284271160412465</v>
      </c>
      <c r="V197" s="1494">
        <f t="shared" si="136"/>
        <v>63238.396725085651</v>
      </c>
      <c r="W197" s="1491">
        <f t="shared" si="137"/>
        <v>0.33757869913395289</v>
      </c>
      <c r="X197" s="527">
        <f t="shared" si="146"/>
        <v>26659.179724825452</v>
      </c>
      <c r="Y197" s="1509">
        <f t="shared" si="147"/>
        <v>10221.049331110855</v>
      </c>
      <c r="Z197" s="1531">
        <f t="shared" si="148"/>
        <v>4095.1250637445028</v>
      </c>
      <c r="AA197" s="1531">
        <f t="shared" si="149"/>
        <v>0</v>
      </c>
      <c r="AB197" s="1531">
        <f t="shared" si="150"/>
        <v>22263.042605404848</v>
      </c>
      <c r="AC197" s="1531">
        <f t="shared" si="151"/>
        <v>63238.396725085651</v>
      </c>
      <c r="AD197" s="1487">
        <f t="shared" si="152"/>
        <v>0</v>
      </c>
      <c r="AE197" s="1454">
        <f t="shared" si="153"/>
        <v>0.42156634426897455</v>
      </c>
      <c r="AF197" s="1504">
        <f t="shared" si="154"/>
        <v>0.16162726856508569</v>
      </c>
      <c r="AG197" s="1504">
        <f t="shared" si="155"/>
        <v>6.4756940020903986E-2</v>
      </c>
      <c r="AH197" s="1504">
        <f t="shared" si="167"/>
        <v>0</v>
      </c>
      <c r="AI197" s="1504">
        <f t="shared" si="156"/>
        <v>0.35204944714503583</v>
      </c>
      <c r="AJ197" s="1541">
        <f t="shared" si="157"/>
        <v>1</v>
      </c>
      <c r="AK197" s="1555">
        <f t="shared" si="158"/>
        <v>17186.84236700723</v>
      </c>
      <c r="AL197" s="1556">
        <f t="shared" si="159"/>
        <v>8969.3252290196542</v>
      </c>
      <c r="AM197" s="1556">
        <f t="shared" si="160"/>
        <v>503.01212879855979</v>
      </c>
      <c r="AN197" s="1498">
        <f t="shared" si="161"/>
        <v>26659.179724825444</v>
      </c>
      <c r="AO197" s="1184">
        <f t="shared" si="162"/>
        <v>0</v>
      </c>
    </row>
    <row r="198" spans="1:41">
      <c r="A198" s="127">
        <f>'Input data'!A138</f>
        <v>2038</v>
      </c>
      <c r="B198" s="1551">
        <f>'Input data'!B138</f>
        <v>70.341572426693446</v>
      </c>
      <c r="C198" s="1550">
        <f>'Input data'!C138</f>
        <v>6333.0462394281813</v>
      </c>
      <c r="D198" s="1509">
        <f>'Input data'!E138</f>
        <v>18854877.897592288</v>
      </c>
      <c r="E198" s="1508">
        <f>'Input data'!J138*C198</f>
        <v>76193.168263278349</v>
      </c>
      <c r="F198" s="1509">
        <f>'Input data'!L138</f>
        <v>95048.046160870639</v>
      </c>
      <c r="G198" s="1509">
        <f t="shared" si="171"/>
        <v>25725.071262263602</v>
      </c>
      <c r="H198" s="1509">
        <f t="shared" si="135"/>
        <v>35689.513964220983</v>
      </c>
      <c r="I198" s="1511">
        <f t="shared" si="138"/>
        <v>18854.877897592287</v>
      </c>
      <c r="J198" s="1504">
        <f t="shared" si="170"/>
        <v>0.2</v>
      </c>
      <c r="K198" s="1512">
        <f t="shared" si="164"/>
        <v>2610.5004834336714</v>
      </c>
      <c r="L198" s="1512">
        <f t="shared" si="140"/>
        <v>0</v>
      </c>
      <c r="M198" s="1511">
        <f t="shared" si="165"/>
        <v>2610.5004834336714</v>
      </c>
      <c r="N198" s="1454">
        <f t="shared" si="169"/>
        <v>0.5</v>
      </c>
      <c r="O198" s="530">
        <f t="shared" si="141"/>
        <v>751.91700000000026</v>
      </c>
      <c r="P198" s="1481">
        <f t="shared" si="168"/>
        <v>3362.4174834336718</v>
      </c>
      <c r="Q198" s="1364">
        <f t="shared" si="142"/>
        <v>58052.167743050908</v>
      </c>
      <c r="R198" s="1364">
        <f t="shared" si="166"/>
        <v>32327.096480787306</v>
      </c>
      <c r="S198" s="576">
        <f t="shared" si="143"/>
        <v>0.75234818443464202</v>
      </c>
      <c r="T198" s="135" t="str">
        <f t="shared" si="144"/>
        <v>Yes</v>
      </c>
      <c r="U198" s="1091">
        <f t="shared" si="145"/>
        <v>0.75234818443464202</v>
      </c>
      <c r="V198" s="1494">
        <f t="shared" si="136"/>
        <v>62720.949680083329</v>
      </c>
      <c r="W198" s="1491">
        <f t="shared" si="137"/>
        <v>0.34011321417457729</v>
      </c>
      <c r="X198" s="527">
        <f t="shared" si="146"/>
        <v>25725.071262263602</v>
      </c>
      <c r="Y198" s="1509">
        <f t="shared" si="147"/>
        <v>9872.3828666461995</v>
      </c>
      <c r="Z198" s="1531">
        <f t="shared" si="148"/>
        <v>4195.0479450616976</v>
      </c>
      <c r="AA198" s="1531">
        <f t="shared" si="149"/>
        <v>0</v>
      </c>
      <c r="AB198" s="1531">
        <f t="shared" si="150"/>
        <v>22928.447606111837</v>
      </c>
      <c r="AC198" s="1531">
        <f t="shared" si="151"/>
        <v>62720.949680083329</v>
      </c>
      <c r="AD198" s="1487">
        <f t="shared" si="152"/>
        <v>0</v>
      </c>
      <c r="AE198" s="1454">
        <f t="shared" si="153"/>
        <v>0.41015117585874894</v>
      </c>
      <c r="AF198" s="1504">
        <f t="shared" si="154"/>
        <v>0.15740168025199908</v>
      </c>
      <c r="AG198" s="1504">
        <f t="shared" si="155"/>
        <v>6.6884318022273348E-2</v>
      </c>
      <c r="AH198" s="1504">
        <f t="shared" si="167"/>
        <v>0</v>
      </c>
      <c r="AI198" s="1504">
        <f t="shared" si="156"/>
        <v>0.36556282586697869</v>
      </c>
      <c r="AJ198" s="1541">
        <f t="shared" si="157"/>
        <v>1</v>
      </c>
      <c r="AK198" s="1555">
        <f t="shared" si="158"/>
        <v>15083.90231807383</v>
      </c>
      <c r="AL198" s="1556">
        <f t="shared" si="159"/>
        <v>10070.817970851742</v>
      </c>
      <c r="AM198" s="1556">
        <f t="shared" si="160"/>
        <v>570.35097333802878</v>
      </c>
      <c r="AN198" s="1498">
        <f t="shared" si="161"/>
        <v>25725.071262263598</v>
      </c>
      <c r="AO198" s="1184">
        <f t="shared" si="162"/>
        <v>0</v>
      </c>
    </row>
    <row r="199" spans="1:41">
      <c r="A199" s="127">
        <f>'Input data'!A139</f>
        <v>2039</v>
      </c>
      <c r="B199" s="1551">
        <f>'Input data'!B139</f>
        <v>70.856554082712819</v>
      </c>
      <c r="C199" s="1550">
        <f>'Input data'!C139</f>
        <v>6520.8289920741563</v>
      </c>
      <c r="D199" s="1509">
        <f>'Input data'!E139</f>
        <v>16226202.836425532</v>
      </c>
      <c r="E199" s="1508">
        <f>'Input data'!J139*C199</f>
        <v>78452.391128290663</v>
      </c>
      <c r="F199" s="1509">
        <f>'Input data'!L139</f>
        <v>94678.593964716187</v>
      </c>
      <c r="G199" s="1509">
        <f t="shared" si="171"/>
        <v>24823.692937269236</v>
      </c>
      <c r="H199" s="1509">
        <f t="shared" si="135"/>
        <v>35420.364398587204</v>
      </c>
      <c r="I199" s="1511">
        <f t="shared" si="138"/>
        <v>16226.202836425531</v>
      </c>
      <c r="J199" s="1504">
        <f t="shared" si="170"/>
        <v>0.2</v>
      </c>
      <c r="K199" s="1512">
        <f t="shared" si="164"/>
        <v>2246.5544767166443</v>
      </c>
      <c r="L199" s="1512">
        <f t="shared" si="140"/>
        <v>0</v>
      </c>
      <c r="M199" s="1511">
        <f t="shared" si="165"/>
        <v>2246.5544767166443</v>
      </c>
      <c r="N199" s="1454">
        <f t="shared" si="169"/>
        <v>0.5</v>
      </c>
      <c r="O199" s="530">
        <f t="shared" si="141"/>
        <v>751.91700000000026</v>
      </c>
      <c r="P199" s="1481">
        <f t="shared" si="168"/>
        <v>2998.4714767166447</v>
      </c>
      <c r="Q199" s="1364">
        <f t="shared" si="142"/>
        <v>57245.585859139799</v>
      </c>
      <c r="R199" s="1364">
        <f t="shared" si="166"/>
        <v>32421.892921870563</v>
      </c>
      <c r="S199" s="576">
        <f t="shared" si="143"/>
        <v>0.73245608552278707</v>
      </c>
      <c r="T199" s="135" t="str">
        <f t="shared" si="144"/>
        <v>Yes</v>
      </c>
      <c r="U199" s="1091">
        <f t="shared" si="145"/>
        <v>0.73245608552278707</v>
      </c>
      <c r="V199" s="1494">
        <f t="shared" si="136"/>
        <v>62256.701042845656</v>
      </c>
      <c r="W199" s="1491">
        <f t="shared" si="137"/>
        <v>0.34244163927860161</v>
      </c>
      <c r="X199" s="527">
        <f t="shared" si="146"/>
        <v>24823.692937269239</v>
      </c>
      <c r="Y199" s="1509">
        <f t="shared" si="147"/>
        <v>9527.5622220133791</v>
      </c>
      <c r="Z199" s="1531">
        <f t="shared" si="148"/>
        <v>4297.1410898359891</v>
      </c>
      <c r="AA199" s="1531">
        <f t="shared" si="149"/>
        <v>0</v>
      </c>
      <c r="AB199" s="1531">
        <f t="shared" si="150"/>
        <v>23608.304793727042</v>
      </c>
      <c r="AC199" s="1531">
        <f t="shared" si="151"/>
        <v>62256.701042845656</v>
      </c>
      <c r="AD199" s="1487">
        <f t="shared" si="152"/>
        <v>0</v>
      </c>
      <c r="AE199" s="1454">
        <f t="shared" si="153"/>
        <v>0.39873126139763393</v>
      </c>
      <c r="AF199" s="1504">
        <f t="shared" si="154"/>
        <v>0.15303673439838097</v>
      </c>
      <c r="AG199" s="1504">
        <f t="shared" si="155"/>
        <v>6.9022948820861157E-2</v>
      </c>
      <c r="AH199" s="1504">
        <f t="shared" si="167"/>
        <v>0</v>
      </c>
      <c r="AI199" s="1504">
        <f t="shared" si="156"/>
        <v>0.37920905538312383</v>
      </c>
      <c r="AJ199" s="1541">
        <f t="shared" si="157"/>
        <v>0.99999999999999978</v>
      </c>
      <c r="AK199" s="1555">
        <f t="shared" si="158"/>
        <v>12980.962269140424</v>
      </c>
      <c r="AL199" s="1556">
        <f t="shared" si="159"/>
        <v>11202.332503882539</v>
      </c>
      <c r="AM199" s="1556">
        <f t="shared" si="160"/>
        <v>640.39816424627156</v>
      </c>
      <c r="AN199" s="1498">
        <f t="shared" si="161"/>
        <v>24823.692937269236</v>
      </c>
      <c r="AO199" s="1184">
        <f t="shared" si="162"/>
        <v>0</v>
      </c>
    </row>
    <row r="200" spans="1:41">
      <c r="A200" s="127">
        <f>'Input data'!A140</f>
        <v>2040</v>
      </c>
      <c r="B200" s="1551">
        <f>'Input data'!B140</f>
        <v>71.375305999999995</v>
      </c>
      <c r="C200" s="1550">
        <f>'Input data'!C140</f>
        <v>6710.9821193375428</v>
      </c>
      <c r="D200" s="1509">
        <f>'Input data'!E140</f>
        <v>13597527.775258772</v>
      </c>
      <c r="E200" s="1508">
        <f>'Input data'!J140*C200</f>
        <v>80740.132078477691</v>
      </c>
      <c r="F200" s="1509">
        <f>'Input data'!L140</f>
        <v>94337.659853736463</v>
      </c>
      <c r="G200" s="1509">
        <f>G177*(1-$C$5)</f>
        <v>23953.89792166539</v>
      </c>
      <c r="H200" s="1509">
        <f t="shared" si="135"/>
        <v>35135.995403877489</v>
      </c>
      <c r="I200" s="1511">
        <f t="shared" si="138"/>
        <v>13597.527775258772</v>
      </c>
      <c r="J200" s="1504">
        <f t="shared" si="170"/>
        <v>0.2</v>
      </c>
      <c r="K200" s="1512">
        <f t="shared" si="164"/>
        <v>1882.6084699996165</v>
      </c>
      <c r="L200" s="1512">
        <f t="shared" si="140"/>
        <v>0</v>
      </c>
      <c r="M200" s="1511">
        <f t="shared" si="165"/>
        <v>1882.6084699996165</v>
      </c>
      <c r="N200" s="1454">
        <f t="shared" si="169"/>
        <v>0.5</v>
      </c>
      <c r="O200" s="530">
        <f t="shared" si="141"/>
        <v>751.91700000000026</v>
      </c>
      <c r="P200" s="1481">
        <f t="shared" si="168"/>
        <v>2634.5254699996167</v>
      </c>
      <c r="Q200" s="1364">
        <f t="shared" si="142"/>
        <v>56455.367855543263</v>
      </c>
      <c r="R200" s="1364">
        <f t="shared" si="166"/>
        <v>32501.469933877874</v>
      </c>
      <c r="S200" s="576">
        <f t="shared" si="143"/>
        <v>0.71310580905526444</v>
      </c>
      <c r="T200" s="135" t="str">
        <f t="shared" si="144"/>
        <v>Yes</v>
      </c>
      <c r="U200" s="1091">
        <f t="shared" si="145"/>
        <v>0.71310580905526444</v>
      </c>
      <c r="V200" s="1494">
        <f t="shared" si="136"/>
        <v>61836.189919858596</v>
      </c>
      <c r="W200" s="1491">
        <f t="shared" si="137"/>
        <v>0.34452274928452731</v>
      </c>
      <c r="X200" s="527">
        <f t="shared" si="146"/>
        <v>23953.897921665382</v>
      </c>
      <c r="Y200" s="1509">
        <f t="shared" si="147"/>
        <v>9185.0252526321055</v>
      </c>
      <c r="Z200" s="1531">
        <f t="shared" si="148"/>
        <v>4400.5229525333853</v>
      </c>
      <c r="AA200" s="1531">
        <f t="shared" si="149"/>
        <v>0</v>
      </c>
      <c r="AB200" s="1531">
        <f t="shared" si="150"/>
        <v>24296.743793027723</v>
      </c>
      <c r="AC200" s="1531">
        <f t="shared" si="151"/>
        <v>61836.189919858596</v>
      </c>
      <c r="AD200" s="1487">
        <f t="shared" si="152"/>
        <v>0</v>
      </c>
      <c r="AE200" s="1454">
        <f t="shared" si="153"/>
        <v>0.38737667946085119</v>
      </c>
      <c r="AF200" s="1504">
        <f t="shared" si="154"/>
        <v>0.14853802060793447</v>
      </c>
      <c r="AG200" s="1504">
        <f t="shared" si="155"/>
        <v>7.11641994475498E-2</v>
      </c>
      <c r="AH200" s="1504">
        <f t="shared" si="167"/>
        <v>0</v>
      </c>
      <c r="AI200" s="1504">
        <f t="shared" si="156"/>
        <v>0.39292110048366452</v>
      </c>
      <c r="AJ200" s="1541">
        <f t="shared" si="157"/>
        <v>1</v>
      </c>
      <c r="AK200" s="1555">
        <f t="shared" si="158"/>
        <v>10878.022220207016</v>
      </c>
      <c r="AL200" s="1556">
        <f t="shared" si="159"/>
        <v>12362.844520978539</v>
      </c>
      <c r="AM200" s="1556">
        <f t="shared" si="160"/>
        <v>713.03118047982548</v>
      </c>
      <c r="AN200" s="1498">
        <f t="shared" si="161"/>
        <v>23953.897921665382</v>
      </c>
      <c r="AO200" s="1184">
        <f t="shared" si="162"/>
        <v>0</v>
      </c>
    </row>
    <row r="201" spans="1:41">
      <c r="A201" s="127">
        <f>'Input data'!A141</f>
        <v>2041</v>
      </c>
      <c r="B201" s="1551">
        <f>'Input data'!B141</f>
        <v>71.818612994947316</v>
      </c>
      <c r="C201" s="1550">
        <f>'Input data'!C141</f>
        <v>6920.8570404241891</v>
      </c>
      <c r="D201" s="1509">
        <f>'Input data'!E141</f>
        <v>11135124.826855309</v>
      </c>
      <c r="E201" s="1508">
        <f>'Input data'!J141*C201</f>
        <v>83265.146829994948</v>
      </c>
      <c r="F201" s="1509">
        <f>'Input data'!L141</f>
        <v>94400.271656850266</v>
      </c>
      <c r="G201" s="1509">
        <f>$G$160*(1+((($G$170/$G$160)^(1/($A$170-$A$160)))-1))^(A201-$A$160)</f>
        <v>22650.218174049241</v>
      </c>
      <c r="H201" s="1509">
        <f t="shared" si="135"/>
        <v>35577.698977942287</v>
      </c>
      <c r="I201" s="1511">
        <f t="shared" si="138"/>
        <v>11135.12482685531</v>
      </c>
      <c r="J201" s="1504">
        <f t="shared" si="170"/>
        <v>0.2</v>
      </c>
      <c r="K201" s="1512">
        <f t="shared" si="164"/>
        <v>1541.6832133032267</v>
      </c>
      <c r="L201" s="1512">
        <f t="shared" si="140"/>
        <v>0</v>
      </c>
      <c r="M201" s="1511">
        <f t="shared" si="165"/>
        <v>1541.6832133032267</v>
      </c>
      <c r="N201" s="1454">
        <f t="shared" si="169"/>
        <v>0.5</v>
      </c>
      <c r="O201" s="530">
        <f t="shared" si="141"/>
        <v>751.91700000000026</v>
      </c>
      <c r="P201" s="1481">
        <f t="shared" si="168"/>
        <v>2293.6002133032271</v>
      </c>
      <c r="Q201" s="1364">
        <f t="shared" si="142"/>
        <v>55934.316938688295</v>
      </c>
      <c r="R201" s="1364">
        <f t="shared" si="166"/>
        <v>33284.098764639057</v>
      </c>
      <c r="S201" s="576">
        <f t="shared" si="143"/>
        <v>0.70777750866066402</v>
      </c>
      <c r="T201" s="135" t="str">
        <f t="shared" si="144"/>
        <v>Yes</v>
      </c>
      <c r="U201" s="1091">
        <f t="shared" si="145"/>
        <v>0.70777750866066402</v>
      </c>
      <c r="V201" s="1494">
        <f t="shared" si="136"/>
        <v>61116.172892211209</v>
      </c>
      <c r="W201" s="1491">
        <f t="shared" si="137"/>
        <v>0.35258477735772231</v>
      </c>
      <c r="X201" s="527">
        <f t="shared" si="146"/>
        <v>22650.218174049241</v>
      </c>
      <c r="Y201" s="1509">
        <f t="shared" si="147"/>
        <v>8894.7431507709243</v>
      </c>
      <c r="Z201" s="1531">
        <f t="shared" si="148"/>
        <v>4514.6270989529849</v>
      </c>
      <c r="AA201" s="1531">
        <f t="shared" si="149"/>
        <v>0</v>
      </c>
      <c r="AB201" s="1531">
        <f t="shared" si="150"/>
        <v>25056.584468438061</v>
      </c>
      <c r="AC201" s="1531">
        <f t="shared" si="151"/>
        <v>61116.172892211209</v>
      </c>
      <c r="AD201" s="1487">
        <f t="shared" si="152"/>
        <v>0</v>
      </c>
      <c r="AE201" s="1454">
        <f t="shared" si="153"/>
        <v>0.37060923651087846</v>
      </c>
      <c r="AF201" s="1504">
        <f t="shared" si="154"/>
        <v>0.14553828765518942</v>
      </c>
      <c r="AG201" s="1504">
        <f t="shared" si="155"/>
        <v>7.3869597609053497E-2</v>
      </c>
      <c r="AH201" s="1504">
        <f t="shared" si="167"/>
        <v>0</v>
      </c>
      <c r="AI201" s="1504">
        <f t="shared" si="156"/>
        <v>0.40998287822487872</v>
      </c>
      <c r="AJ201" s="1541">
        <f t="shared" si="157"/>
        <v>1.0000000000000002</v>
      </c>
      <c r="AK201" s="1555">
        <f t="shared" si="158"/>
        <v>8908.0998614842465</v>
      </c>
      <c r="AL201" s="1556">
        <f t="shared" si="159"/>
        <v>12986.259843322039</v>
      </c>
      <c r="AM201" s="1556">
        <f t="shared" si="160"/>
        <v>755.85846924295208</v>
      </c>
      <c r="AN201" s="1498">
        <f t="shared" si="161"/>
        <v>22650.218174049238</v>
      </c>
      <c r="AO201" s="1184">
        <f t="shared" si="162"/>
        <v>0</v>
      </c>
    </row>
    <row r="202" spans="1:41">
      <c r="A202" s="127">
        <f>'Input data'!A142</f>
        <v>2042</v>
      </c>
      <c r="B202" s="1551">
        <f>'Input data'!B142</f>
        <v>72.264673338395411</v>
      </c>
      <c r="C202" s="1550">
        <f>'Input data'!C142</f>
        <v>7114.4180841945599</v>
      </c>
      <c r="D202" s="1509">
        <f>'Input data'!E142</f>
        <v>8672721.8784518428</v>
      </c>
      <c r="E202" s="1508">
        <f>'Input data'!J142*C202</f>
        <v>85593.88857916987</v>
      </c>
      <c r="F202" s="1509">
        <f>'Input data'!L142</f>
        <v>94266.610457621719</v>
      </c>
      <c r="G202" s="1509">
        <f t="shared" ref="G202:G209" si="172">$G$160*(1+((($G$170/$G$160)^(1/($A$170-$A$160)))-1))^(A202-$A$160)</f>
        <v>21417.490590039302</v>
      </c>
      <c r="H202" s="1509">
        <f t="shared" si="135"/>
        <v>35835.827542244195</v>
      </c>
      <c r="I202" s="1511">
        <f t="shared" si="138"/>
        <v>8672.7218784518427</v>
      </c>
      <c r="J202" s="1504">
        <f t="shared" si="170"/>
        <v>0.2</v>
      </c>
      <c r="K202" s="1512">
        <f t="shared" si="164"/>
        <v>1200.7579566068364</v>
      </c>
      <c r="L202" s="1512">
        <f t="shared" si="140"/>
        <v>0</v>
      </c>
      <c r="M202" s="530">
        <f t="shared" si="165"/>
        <v>1200.7579566068364</v>
      </c>
      <c r="N202" s="649">
        <f t="shared" si="169"/>
        <v>0.5</v>
      </c>
      <c r="O202" s="530">
        <f t="shared" si="141"/>
        <v>751.91700000000026</v>
      </c>
      <c r="P202" s="1481">
        <f t="shared" si="168"/>
        <v>1952.6749566068365</v>
      </c>
      <c r="Q202" s="1364">
        <f t="shared" si="142"/>
        <v>55300.643175676654</v>
      </c>
      <c r="R202" s="1364">
        <f t="shared" si="166"/>
        <v>33883.152585637348</v>
      </c>
      <c r="S202" s="576">
        <f t="shared" si="143"/>
        <v>0.70060845976703801</v>
      </c>
      <c r="T202" s="135" t="str">
        <f t="shared" si="144"/>
        <v>Yes</v>
      </c>
      <c r="U202" s="1091">
        <f t="shared" si="145"/>
        <v>0.70060845976703801</v>
      </c>
      <c r="V202" s="1494">
        <f t="shared" si="136"/>
        <v>60383.45787198437</v>
      </c>
      <c r="W202" s="1491">
        <f t="shared" si="137"/>
        <v>0.35943959819017557</v>
      </c>
      <c r="X202" s="527">
        <f t="shared" si="146"/>
        <v>21417.490590039306</v>
      </c>
      <c r="Y202" s="1509">
        <f t="shared" si="147"/>
        <v>8588.7438717132245</v>
      </c>
      <c r="Z202" s="1531">
        <f t="shared" si="148"/>
        <v>4619.8617671313086</v>
      </c>
      <c r="AA202" s="1531">
        <f t="shared" si="149"/>
        <v>0</v>
      </c>
      <c r="AB202" s="1531">
        <f t="shared" si="150"/>
        <v>25757.361643100532</v>
      </c>
      <c r="AC202" s="1531">
        <f t="shared" si="151"/>
        <v>60383.45787198437</v>
      </c>
      <c r="AD202" s="1487">
        <f t="shared" si="152"/>
        <v>0</v>
      </c>
      <c r="AE202" s="1454">
        <f t="shared" si="153"/>
        <v>0.35469135662030721</v>
      </c>
      <c r="AF202" s="1504">
        <f t="shared" si="154"/>
        <v>0.14223670148075562</v>
      </c>
      <c r="AG202" s="1504">
        <f t="shared" si="155"/>
        <v>7.650873152918175E-2</v>
      </c>
      <c r="AH202" s="1504">
        <f t="shared" si="167"/>
        <v>0</v>
      </c>
      <c r="AI202" s="1504">
        <f t="shared" si="156"/>
        <v>0.42656321036975542</v>
      </c>
      <c r="AJ202" s="1541">
        <f t="shared" si="157"/>
        <v>1</v>
      </c>
      <c r="AK202" s="1555">
        <f t="shared" si="158"/>
        <v>6938.177502761474</v>
      </c>
      <c r="AL202" s="1556">
        <f t="shared" si="159"/>
        <v>13676.956915432807</v>
      </c>
      <c r="AM202" s="1556">
        <f t="shared" si="160"/>
        <v>802.35617184501996</v>
      </c>
      <c r="AN202" s="1498">
        <f t="shared" si="161"/>
        <v>21417.490590039299</v>
      </c>
      <c r="AO202" s="1184">
        <f t="shared" si="162"/>
        <v>0</v>
      </c>
    </row>
    <row r="203" spans="1:41">
      <c r="A203" s="127">
        <f>'Input data'!A143</f>
        <v>2043</v>
      </c>
      <c r="B203" s="1551">
        <f>'Input data'!B143</f>
        <v>72.713504131197794</v>
      </c>
      <c r="C203" s="1550">
        <f>'Input data'!C143</f>
        <v>7308.347295357521</v>
      </c>
      <c r="D203" s="1509">
        <f>'Input data'!E143</f>
        <v>6210318.9300483763</v>
      </c>
      <c r="E203" s="1508">
        <f>'Input data'!J143*C203</f>
        <v>87927.059767043364</v>
      </c>
      <c r="F203" s="1509">
        <f>'Input data'!L143</f>
        <v>94137.378697091743</v>
      </c>
      <c r="G203" s="1509">
        <f t="shared" si="172"/>
        <v>20251.853631148377</v>
      </c>
      <c r="H203" s="1509">
        <f t="shared" si="135"/>
        <v>36029.407124888778</v>
      </c>
      <c r="I203" s="1511">
        <f t="shared" si="138"/>
        <v>6210.3189300483764</v>
      </c>
      <c r="J203" s="1504">
        <f t="shared" si="170"/>
        <v>0.2</v>
      </c>
      <c r="K203" s="1512">
        <f t="shared" si="164"/>
        <v>859.83269991044597</v>
      </c>
      <c r="L203" s="1512">
        <f t="shared" si="140"/>
        <v>0</v>
      </c>
      <c r="M203" s="530">
        <f t="shared" si="165"/>
        <v>859.83269991044597</v>
      </c>
      <c r="N203" s="649">
        <f t="shared" si="169"/>
        <v>0.5</v>
      </c>
      <c r="O203" s="530">
        <f t="shared" si="141"/>
        <v>751.91700000000026</v>
      </c>
      <c r="P203" s="1481">
        <f t="shared" si="168"/>
        <v>1611.7496999104462</v>
      </c>
      <c r="Q203" s="1364">
        <f t="shared" si="142"/>
        <v>54669.511056126707</v>
      </c>
      <c r="R203" s="1364">
        <f t="shared" si="166"/>
        <v>34417.65742497833</v>
      </c>
      <c r="S203" s="576">
        <f t="shared" si="143"/>
        <v>0.69249069854203626</v>
      </c>
      <c r="T203" s="135" t="str">
        <f t="shared" si="144"/>
        <v>Yes</v>
      </c>
      <c r="U203" s="1091">
        <f t="shared" si="145"/>
        <v>0.69249069854203626</v>
      </c>
      <c r="V203" s="1494">
        <f t="shared" si="136"/>
        <v>59719.72127211342</v>
      </c>
      <c r="W203" s="1491">
        <f t="shared" si="137"/>
        <v>0.36561096029373097</v>
      </c>
      <c r="X203" s="527">
        <f t="shared" si="146"/>
        <v>20251.853631148373</v>
      </c>
      <c r="Y203" s="1509">
        <f t="shared" si="147"/>
        <v>8283.0992938730942</v>
      </c>
      <c r="Z203" s="1531">
        <f t="shared" si="148"/>
        <v>4725.2965994162041</v>
      </c>
      <c r="AA203" s="1531">
        <f t="shared" si="149"/>
        <v>0</v>
      </c>
      <c r="AB203" s="1531">
        <f t="shared" si="150"/>
        <v>26459.471747675743</v>
      </c>
      <c r="AC203" s="1531">
        <f t="shared" si="151"/>
        <v>59719.72127211342</v>
      </c>
      <c r="AD203" s="1487">
        <f t="shared" si="152"/>
        <v>0</v>
      </c>
      <c r="AE203" s="1454">
        <f t="shared" si="153"/>
        <v>0.33911500589345733</v>
      </c>
      <c r="AF203" s="1504">
        <f t="shared" si="154"/>
        <v>0.13869956385313792</v>
      </c>
      <c r="AG203" s="1504">
        <f t="shared" si="155"/>
        <v>7.912455883518528E-2</v>
      </c>
      <c r="AH203" s="1504">
        <f t="shared" si="167"/>
        <v>0</v>
      </c>
      <c r="AI203" s="1504">
        <f t="shared" si="156"/>
        <v>0.44306087141821937</v>
      </c>
      <c r="AJ203" s="1541">
        <f t="shared" si="157"/>
        <v>0.99999999999999989</v>
      </c>
      <c r="AK203" s="1555">
        <f t="shared" si="158"/>
        <v>4968.2551440387015</v>
      </c>
      <c r="AL203" s="1556">
        <f t="shared" si="159"/>
        <v>14430.720154939199</v>
      </c>
      <c r="AM203" s="1556">
        <f t="shared" si="160"/>
        <v>852.87833217047034</v>
      </c>
      <c r="AN203" s="1498">
        <f t="shared" si="161"/>
        <v>20251.853631148369</v>
      </c>
      <c r="AO203" s="1184">
        <f t="shared" si="162"/>
        <v>0</v>
      </c>
    </row>
    <row r="204" spans="1:41">
      <c r="A204" s="127">
        <f>'Input data'!A144</f>
        <v>2044</v>
      </c>
      <c r="B204" s="1551">
        <f>'Input data'!B144</f>
        <v>73.165122580420132</v>
      </c>
      <c r="C204" s="1550">
        <f>'Input data'!C144</f>
        <v>7506.518596985471</v>
      </c>
      <c r="D204" s="1509">
        <f>'Input data'!E144</f>
        <v>3747915.9816449117</v>
      </c>
      <c r="E204" s="1508">
        <f>'Input data'!J144*C204</f>
        <v>90311.267738854192</v>
      </c>
      <c r="F204" s="1509">
        <f>'Input data'!L144</f>
        <v>94059.183720499102</v>
      </c>
      <c r="G204" s="1509">
        <f t="shared" si="172"/>
        <v>19149.655921324487</v>
      </c>
      <c r="H204" s="1509">
        <f t="shared" si="135"/>
        <v>36188.832728458176</v>
      </c>
      <c r="I204" s="1511">
        <f t="shared" si="138"/>
        <v>3747.9159816449119</v>
      </c>
      <c r="J204" s="1504">
        <f t="shared" si="170"/>
        <v>0.2</v>
      </c>
      <c r="K204" s="1512">
        <f t="shared" si="164"/>
        <v>518.90744321405589</v>
      </c>
      <c r="L204" s="1512">
        <f t="shared" si="140"/>
        <v>0</v>
      </c>
      <c r="M204" s="530">
        <f t="shared" si="165"/>
        <v>518.90744321405589</v>
      </c>
      <c r="N204" s="649">
        <f t="shared" si="169"/>
        <v>0.5</v>
      </c>
      <c r="O204" s="530">
        <f t="shared" si="141"/>
        <v>751.91700000000026</v>
      </c>
      <c r="P204" s="1481">
        <f t="shared" si="168"/>
        <v>1270.8244432140561</v>
      </c>
      <c r="Q204" s="1364">
        <f t="shared" si="142"/>
        <v>54067.66420656861</v>
      </c>
      <c r="R204" s="1364">
        <f t="shared" si="166"/>
        <v>34918.008285244126</v>
      </c>
      <c r="S204" s="576">
        <f t="shared" si="143"/>
        <v>0.68373732949855837</v>
      </c>
      <c r="T204" s="135" t="str">
        <f t="shared" si="144"/>
        <v>Yes</v>
      </c>
      <c r="U204" s="1091">
        <f t="shared" si="145"/>
        <v>0.68373732949855837</v>
      </c>
      <c r="V204" s="1494">
        <f t="shared" si="136"/>
        <v>59141.175435254991</v>
      </c>
      <c r="W204" s="1491">
        <f t="shared" si="137"/>
        <v>0.37123443882954021</v>
      </c>
      <c r="X204" s="527">
        <f t="shared" si="146"/>
        <v>19149.655921324487</v>
      </c>
      <c r="Y204" s="1509">
        <f t="shared" si="147"/>
        <v>7981.5416468238018</v>
      </c>
      <c r="Z204" s="1531">
        <f t="shared" si="148"/>
        <v>4833.0377582933197</v>
      </c>
      <c r="AA204" s="1531">
        <f t="shared" si="149"/>
        <v>0</v>
      </c>
      <c r="AB204" s="1531">
        <f t="shared" si="150"/>
        <v>27176.940108813385</v>
      </c>
      <c r="AC204" s="1531">
        <f t="shared" si="151"/>
        <v>59141.175435254991</v>
      </c>
      <c r="AD204" s="1487">
        <f t="shared" si="152"/>
        <v>0</v>
      </c>
      <c r="AE204" s="1454">
        <f t="shared" si="153"/>
        <v>0.32379565979862274</v>
      </c>
      <c r="AF204" s="1504">
        <f t="shared" si="154"/>
        <v>0.13495744019429615</v>
      </c>
      <c r="AG204" s="1504">
        <f t="shared" si="155"/>
        <v>8.1720353420846437E-2</v>
      </c>
      <c r="AH204" s="1504">
        <f t="shared" si="167"/>
        <v>0</v>
      </c>
      <c r="AI204" s="1504">
        <f t="shared" si="156"/>
        <v>0.45952654658623476</v>
      </c>
      <c r="AJ204" s="1541">
        <f t="shared" si="157"/>
        <v>1.0000000000000002</v>
      </c>
      <c r="AK204" s="1555">
        <f t="shared" si="158"/>
        <v>2998.3327853159294</v>
      </c>
      <c r="AL204" s="1556">
        <f t="shared" si="159"/>
        <v>15243.934348099368</v>
      </c>
      <c r="AM204" s="1556">
        <f t="shared" si="160"/>
        <v>907.38878790918523</v>
      </c>
      <c r="AN204" s="1498">
        <f t="shared" si="161"/>
        <v>19149.655921324484</v>
      </c>
      <c r="AO204" s="1184">
        <f t="shared" si="162"/>
        <v>0</v>
      </c>
    </row>
    <row r="205" spans="1:41">
      <c r="A205" s="127">
        <f>'Input data'!A145</f>
        <v>2045</v>
      </c>
      <c r="B205" s="1551">
        <f>'Input data'!B145</f>
        <v>73.619545999999971</v>
      </c>
      <c r="C205" s="1550">
        <f>'Input data'!C145</f>
        <v>7710.3236783048815</v>
      </c>
      <c r="D205" s="1509">
        <f>'Input data'!E145</f>
        <v>1285513.0332414466</v>
      </c>
      <c r="E205" s="1508">
        <f>'Input data'!J145*C205</f>
        <v>92763.255971184393</v>
      </c>
      <c r="F205" s="1509">
        <f>'Input data'!L145</f>
        <v>94048.769004425834</v>
      </c>
      <c r="G205" s="1509">
        <f t="shared" si="172"/>
        <v>18107.444808958157</v>
      </c>
      <c r="H205" s="1509">
        <f t="shared" si="135"/>
        <v>36327.164530633832</v>
      </c>
      <c r="I205" s="1511">
        <f t="shared" si="138"/>
        <v>1285.5130332414467</v>
      </c>
      <c r="J205" s="1504">
        <f t="shared" si="170"/>
        <v>0.2</v>
      </c>
      <c r="K205" s="1512">
        <f t="shared" si="164"/>
        <v>177.98218651766564</v>
      </c>
      <c r="L205" s="1512">
        <f t="shared" si="140"/>
        <v>0</v>
      </c>
      <c r="M205" s="530">
        <f t="shared" si="165"/>
        <v>177.98218651766564</v>
      </c>
      <c r="N205" s="649">
        <f t="shared" si="169"/>
        <v>0.5</v>
      </c>
      <c r="O205" s="530">
        <f t="shared" si="141"/>
        <v>751.91700000000026</v>
      </c>
      <c r="P205" s="1481">
        <f t="shared" si="168"/>
        <v>929.89918651766584</v>
      </c>
      <c r="Q205" s="1364">
        <f t="shared" si="142"/>
        <v>53504.710153074324</v>
      </c>
      <c r="R205" s="1364">
        <f t="shared" si="166"/>
        <v>35397.265344116167</v>
      </c>
      <c r="S205" s="576">
        <f t="shared" si="143"/>
        <v>0.67453813490309056</v>
      </c>
      <c r="T205" s="135" t="str">
        <f t="shared" si="144"/>
        <v>Yes</v>
      </c>
      <c r="U205" s="1091">
        <f t="shared" si="145"/>
        <v>0.67453813490309056</v>
      </c>
      <c r="V205" s="1494">
        <f t="shared" si="136"/>
        <v>58651.503660309689</v>
      </c>
      <c r="W205" s="1491">
        <f t="shared" si="137"/>
        <v>0.37637138389818148</v>
      </c>
      <c r="X205" s="527">
        <f t="shared" si="146"/>
        <v>18107.444808958157</v>
      </c>
      <c r="Y205" s="1509">
        <f t="shared" si="147"/>
        <v>7685.4117170473683</v>
      </c>
      <c r="Z205" s="1531">
        <f t="shared" si="148"/>
        <v>4943.8418730466392</v>
      </c>
      <c r="AA205" s="1531">
        <f t="shared" si="149"/>
        <v>0</v>
      </c>
      <c r="AB205" s="1531">
        <f t="shared" si="150"/>
        <v>27914.805261257523</v>
      </c>
      <c r="AC205" s="1531">
        <f t="shared" si="151"/>
        <v>58651.503660309689</v>
      </c>
      <c r="AD205" s="1487">
        <f t="shared" si="152"/>
        <v>0</v>
      </c>
      <c r="AE205" s="1454">
        <f t="shared" si="153"/>
        <v>0.30872942173538381</v>
      </c>
      <c r="AF205" s="1504">
        <f t="shared" si="154"/>
        <v>0.13103520348870776</v>
      </c>
      <c r="AG205" s="1504">
        <f t="shared" si="155"/>
        <v>8.4291818018507297E-2</v>
      </c>
      <c r="AH205" s="1504">
        <f t="shared" si="167"/>
        <v>0</v>
      </c>
      <c r="AI205" s="1504">
        <f t="shared" si="156"/>
        <v>0.47594355675740113</v>
      </c>
      <c r="AJ205" s="1541">
        <f t="shared" si="157"/>
        <v>1</v>
      </c>
      <c r="AK205" s="1555">
        <f t="shared" si="158"/>
        <v>1028.4104265931574</v>
      </c>
      <c r="AL205" s="1556">
        <f t="shared" si="159"/>
        <v>16113.255368428505</v>
      </c>
      <c r="AM205" s="1556">
        <f t="shared" si="160"/>
        <v>965.77901393648995</v>
      </c>
      <c r="AN205" s="1498">
        <f t="shared" si="161"/>
        <v>18107.444808958153</v>
      </c>
      <c r="AO205" s="1184">
        <f t="shared" si="162"/>
        <v>0</v>
      </c>
    </row>
    <row r="206" spans="1:41">
      <c r="A206" s="127">
        <f>'Input data'!A146</f>
        <v>2046</v>
      </c>
      <c r="B206" s="1551">
        <f>'Input data'!B146</f>
        <v>73.995362001779526</v>
      </c>
      <c r="C206" s="1550">
        <f>'Input data'!C146</f>
        <v>7937.3408756753133</v>
      </c>
      <c r="D206" s="1509">
        <f>'Input data'!E146</f>
        <v>1075389.49817775</v>
      </c>
      <c r="E206" s="1508">
        <f>'Input data'!J146*C206</f>
        <v>95494.510230819331</v>
      </c>
      <c r="F206" s="1509">
        <f>'Input data'!L146</f>
        <v>96569.899728997087</v>
      </c>
      <c r="G206" s="1509">
        <f t="shared" si="172"/>
        <v>17121.955551397077</v>
      </c>
      <c r="H206" s="1509">
        <f t="shared" si="135"/>
        <v>38682.676021537307</v>
      </c>
      <c r="I206" s="1511">
        <f t="shared" si="138"/>
        <v>1075.3894981777501</v>
      </c>
      <c r="J206" s="1504">
        <f t="shared" si="170"/>
        <v>0.2</v>
      </c>
      <c r="K206" s="1512">
        <f t="shared" si="164"/>
        <v>148.89010791371896</v>
      </c>
      <c r="L206" s="1512">
        <f t="shared" si="140"/>
        <v>0</v>
      </c>
      <c r="M206" s="530">
        <f t="shared" si="165"/>
        <v>148.89010791371896</v>
      </c>
      <c r="N206" s="649">
        <f t="shared" si="169"/>
        <v>0.5</v>
      </c>
      <c r="O206" s="530">
        <f t="shared" si="141"/>
        <v>751.91700000000026</v>
      </c>
      <c r="P206" s="1481">
        <f t="shared" si="168"/>
        <v>900.80710791371916</v>
      </c>
      <c r="Q206" s="1364">
        <f t="shared" si="142"/>
        <v>54903.824465020662</v>
      </c>
      <c r="R206" s="1364">
        <f t="shared" si="166"/>
        <v>37781.868913623584</v>
      </c>
      <c r="S206" s="576">
        <f t="shared" si="143"/>
        <v>0.69910090794742763</v>
      </c>
      <c r="T206" s="135" t="str">
        <f t="shared" si="144"/>
        <v>Yes</v>
      </c>
      <c r="U206" s="1091">
        <f t="shared" si="145"/>
        <v>0.69910090794742763</v>
      </c>
      <c r="V206" s="1494">
        <f t="shared" si="136"/>
        <v>58788.03081537351</v>
      </c>
      <c r="W206" s="1491">
        <f t="shared" si="137"/>
        <v>0.39123856418667069</v>
      </c>
      <c r="X206" s="527">
        <f t="shared" si="146"/>
        <v>17121.955551397084</v>
      </c>
      <c r="Y206" s="1509">
        <f t="shared" si="147"/>
        <v>7862.100774307467</v>
      </c>
      <c r="Z206" s="1531">
        <f t="shared" si="148"/>
        <v>5067.2658790898813</v>
      </c>
      <c r="AA206" s="1531">
        <f t="shared" si="149"/>
        <v>0</v>
      </c>
      <c r="AB206" s="1531">
        <f t="shared" si="150"/>
        <v>28736.70861057908</v>
      </c>
      <c r="AC206" s="1531">
        <f t="shared" si="151"/>
        <v>58788.03081537351</v>
      </c>
      <c r="AD206" s="1487">
        <f t="shared" si="152"/>
        <v>0</v>
      </c>
      <c r="AE206" s="649">
        <f t="shared" si="153"/>
        <v>0.29124900619939742</v>
      </c>
      <c r="AF206" s="417">
        <f t="shared" si="154"/>
        <v>0.13373641990150603</v>
      </c>
      <c r="AG206" s="417">
        <f t="shared" si="155"/>
        <v>8.6195536894301844E-2</v>
      </c>
      <c r="AH206" s="417">
        <f t="shared" si="167"/>
        <v>0</v>
      </c>
      <c r="AI206" s="417">
        <f t="shared" si="156"/>
        <v>0.48881903700479479</v>
      </c>
      <c r="AJ206" s="525">
        <f t="shared" si="157"/>
        <v>1</v>
      </c>
      <c r="AK206" s="1497">
        <f t="shared" si="158"/>
        <v>860.31159854220004</v>
      </c>
      <c r="AL206" s="1498">
        <f t="shared" si="159"/>
        <v>15335.801556344306</v>
      </c>
      <c r="AM206" s="1498">
        <f t="shared" si="160"/>
        <v>925.84239651057635</v>
      </c>
      <c r="AN206" s="1498">
        <f t="shared" si="161"/>
        <v>17121.955551397081</v>
      </c>
      <c r="AO206" s="1184">
        <f t="shared" si="162"/>
        <v>0</v>
      </c>
    </row>
    <row r="207" spans="1:41">
      <c r="A207" s="127">
        <f>'Input data'!A147</f>
        <v>2047</v>
      </c>
      <c r="B207" s="1551">
        <f>'Input data'!B147</f>
        <v>74.373096484110363</v>
      </c>
      <c r="C207" s="1550">
        <f>'Input data'!C147</f>
        <v>8114.689906663607</v>
      </c>
      <c r="D207" s="1509">
        <f>'Input data'!E147</f>
        <v>865265.96311405371</v>
      </c>
      <c r="E207" s="1508">
        <f>'Input data'!J147*C207</f>
        <v>97628.204514510595</v>
      </c>
      <c r="F207" s="1509">
        <f>'Input data'!L147</f>
        <v>98493.470477624651</v>
      </c>
      <c r="G207" s="1509">
        <f t="shared" si="172"/>
        <v>16190.101088088571</v>
      </c>
      <c r="H207" s="1509">
        <f t="shared" si="135"/>
        <v>40641.668549520378</v>
      </c>
      <c r="I207" s="1511">
        <f t="shared" si="138"/>
        <v>865.26596311405376</v>
      </c>
      <c r="J207" s="1504">
        <f t="shared" si="170"/>
        <v>0.2</v>
      </c>
      <c r="K207" s="1512">
        <f t="shared" si="164"/>
        <v>119.79802930977232</v>
      </c>
      <c r="L207" s="1512">
        <f t="shared" si="140"/>
        <v>0</v>
      </c>
      <c r="M207" s="530">
        <f t="shared" si="165"/>
        <v>119.79802930977232</v>
      </c>
      <c r="N207" s="649">
        <f t="shared" si="169"/>
        <v>0.5</v>
      </c>
      <c r="O207" s="530">
        <f t="shared" si="141"/>
        <v>751.91700000000026</v>
      </c>
      <c r="P207" s="1481">
        <f t="shared" si="168"/>
        <v>871.7150293097726</v>
      </c>
      <c r="Q207" s="1364">
        <f t="shared" si="142"/>
        <v>55960.054608299179</v>
      </c>
      <c r="R207" s="1364">
        <f t="shared" si="166"/>
        <v>39769.953520210605</v>
      </c>
      <c r="S207" s="576">
        <f t="shared" si="143"/>
        <v>0.71958578800528716</v>
      </c>
      <c r="T207" s="135" t="str">
        <f t="shared" si="144"/>
        <v>Yes</v>
      </c>
      <c r="U207" s="1091">
        <f t="shared" si="145"/>
        <v>0.71958578800528716</v>
      </c>
      <c r="V207" s="1494">
        <f t="shared" si="136"/>
        <v>58723.51695741406</v>
      </c>
      <c r="W207" s="1491">
        <f t="shared" si="137"/>
        <v>0.40378263987809593</v>
      </c>
      <c r="X207" s="527">
        <f t="shared" si="146"/>
        <v>16190.101088088579</v>
      </c>
      <c r="Y207" s="1509">
        <f t="shared" si="147"/>
        <v>7990.9383394348279</v>
      </c>
      <c r="Z207" s="1531">
        <f t="shared" si="148"/>
        <v>5163.6864504210689</v>
      </c>
      <c r="AA207" s="1531">
        <f t="shared" si="149"/>
        <v>0</v>
      </c>
      <c r="AB207" s="1531">
        <f t="shared" si="150"/>
        <v>29378.791079469585</v>
      </c>
      <c r="AC207" s="1531">
        <f t="shared" si="151"/>
        <v>58723.51695741406</v>
      </c>
      <c r="AD207" s="1487">
        <f t="shared" si="152"/>
        <v>0</v>
      </c>
      <c r="AE207" s="649">
        <f t="shared" si="153"/>
        <v>0.27570046766493128</v>
      </c>
      <c r="AF207" s="417">
        <f t="shared" si="154"/>
        <v>0.13607731201163936</v>
      </c>
      <c r="AG207" s="417">
        <f t="shared" si="155"/>
        <v>8.7932172968552672E-2</v>
      </c>
      <c r="AH207" s="417">
        <f t="shared" si="167"/>
        <v>0</v>
      </c>
      <c r="AI207" s="417">
        <f t="shared" si="156"/>
        <v>0.5002900473548767</v>
      </c>
      <c r="AJ207" s="525">
        <f t="shared" si="157"/>
        <v>1</v>
      </c>
      <c r="AK207" s="1497">
        <f t="shared" si="158"/>
        <v>692.21277049124296</v>
      </c>
      <c r="AL207" s="1498">
        <f t="shared" si="159"/>
        <v>14611.086784581888</v>
      </c>
      <c r="AM207" s="1498">
        <f t="shared" si="160"/>
        <v>886.80153301544283</v>
      </c>
      <c r="AN207" s="1498">
        <f t="shared" si="161"/>
        <v>16190.101088088575</v>
      </c>
      <c r="AO207" s="1184">
        <f t="shared" si="162"/>
        <v>0</v>
      </c>
    </row>
    <row r="208" spans="1:41">
      <c r="A208" s="127">
        <f>'Input data'!A148</f>
        <v>2048</v>
      </c>
      <c r="B208" s="1551">
        <f>'Input data'!B148</f>
        <v>74.752759240528661</v>
      </c>
      <c r="C208" s="1550">
        <f>'Input data'!C148</f>
        <v>8296.4877206561141</v>
      </c>
      <c r="D208" s="1509">
        <f>'Input data'!E148</f>
        <v>655142.42805035703</v>
      </c>
      <c r="E208" s="1508">
        <f>'Input data'!J148*C208</f>
        <v>99815.422309509362</v>
      </c>
      <c r="F208" s="1509">
        <f>'Input data'!L148</f>
        <v>100470.56473755972</v>
      </c>
      <c r="G208" s="1509">
        <f t="shared" si="172"/>
        <v>15308.962370313993</v>
      </c>
      <c r="H208" s="1509">
        <f t="shared" si="135"/>
        <v>42580.657503831222</v>
      </c>
      <c r="I208" s="1511">
        <f t="shared" si="138"/>
        <v>655.14242805035701</v>
      </c>
      <c r="J208" s="1504">
        <f t="shared" si="170"/>
        <v>0.2</v>
      </c>
      <c r="K208" s="1512">
        <f t="shared" si="164"/>
        <v>90.705950705825586</v>
      </c>
      <c r="L208" s="1512">
        <f t="shared" si="140"/>
        <v>0</v>
      </c>
      <c r="M208" s="530">
        <f t="shared" si="165"/>
        <v>90.705950705825586</v>
      </c>
      <c r="N208" s="649">
        <f t="shared" si="169"/>
        <v>0.5</v>
      </c>
      <c r="O208" s="530">
        <f t="shared" si="141"/>
        <v>751.91700000000026</v>
      </c>
      <c r="P208" s="1481">
        <f t="shared" si="168"/>
        <v>842.62295070582582</v>
      </c>
      <c r="Q208" s="1364">
        <f t="shared" si="142"/>
        <v>57046.996923439394</v>
      </c>
      <c r="R208" s="1364">
        <f t="shared" si="166"/>
        <v>41738.034553125399</v>
      </c>
      <c r="S208" s="576">
        <f t="shared" si="143"/>
        <v>0.73842720597171552</v>
      </c>
      <c r="T208" s="135" t="str">
        <f t="shared" si="144"/>
        <v>Yes</v>
      </c>
      <c r="U208" s="1091">
        <f t="shared" si="145"/>
        <v>0.73842720597171552</v>
      </c>
      <c r="V208" s="1494">
        <f t="shared" si="136"/>
        <v>58732.530184434327</v>
      </c>
      <c r="W208" s="1491">
        <f t="shared" si="137"/>
        <v>0.4154254996192146</v>
      </c>
      <c r="X208" s="527">
        <f t="shared" si="146"/>
        <v>15308.962370313993</v>
      </c>
      <c r="Y208" s="1509">
        <f t="shared" si="147"/>
        <v>8124.0619678585172</v>
      </c>
      <c r="Z208" s="1531">
        <f t="shared" si="148"/>
        <v>5262.5257223033932</v>
      </c>
      <c r="AA208" s="1531">
        <f t="shared" si="149"/>
        <v>0</v>
      </c>
      <c r="AB208" s="1531">
        <f t="shared" si="150"/>
        <v>30036.980123958427</v>
      </c>
      <c r="AC208" s="1531">
        <f t="shared" si="151"/>
        <v>58732.530184434327</v>
      </c>
      <c r="AD208" s="1487">
        <f t="shared" si="152"/>
        <v>0</v>
      </c>
      <c r="AE208" s="649">
        <f t="shared" si="153"/>
        <v>0.26065559107091341</v>
      </c>
      <c r="AF208" s="417">
        <f t="shared" si="154"/>
        <v>0.13832303737548851</v>
      </c>
      <c r="AG208" s="417">
        <f t="shared" si="155"/>
        <v>8.9601549699592234E-2</v>
      </c>
      <c r="AH208" s="417">
        <f t="shared" si="167"/>
        <v>0</v>
      </c>
      <c r="AI208" s="417">
        <f t="shared" si="156"/>
        <v>0.51141982185400592</v>
      </c>
      <c r="AJ208" s="525">
        <f t="shared" si="157"/>
        <v>1</v>
      </c>
      <c r="AK208" s="1497">
        <f t="shared" si="158"/>
        <v>524.11394244028565</v>
      </c>
      <c r="AL208" s="1498">
        <f t="shared" si="159"/>
        <v>13934.693389002021</v>
      </c>
      <c r="AM208" s="1498">
        <f t="shared" si="160"/>
        <v>850.15503887168097</v>
      </c>
      <c r="AN208" s="1498">
        <f t="shared" si="161"/>
        <v>15308.962370313988</v>
      </c>
      <c r="AO208" s="1184">
        <f t="shared" si="162"/>
        <v>0</v>
      </c>
    </row>
    <row r="209" spans="1:41">
      <c r="A209" s="127">
        <f>'Input data'!A149</f>
        <v>2049</v>
      </c>
      <c r="B209" s="1551">
        <f>'Input data'!B149</f>
        <v>75.134360114565098</v>
      </c>
      <c r="C209" s="1550">
        <f>'Input data'!C149</f>
        <v>8472.9909282566368</v>
      </c>
      <c r="D209" s="1509">
        <f>'Input data'!E149</f>
        <v>445018.89298666047</v>
      </c>
      <c r="E209" s="1508">
        <f>'Input data'!J149*C209</f>
        <v>101938.94045343013</v>
      </c>
      <c r="F209" s="1509">
        <f>'Input data'!L149</f>
        <v>102383.95934641678</v>
      </c>
      <c r="G209" s="1509">
        <f t="shared" si="172"/>
        <v>14475.779217222871</v>
      </c>
      <c r="H209" s="1509">
        <f t="shared" si="135"/>
        <v>44435.139580145144</v>
      </c>
      <c r="I209" s="1511">
        <f t="shared" si="138"/>
        <v>445.01889298666049</v>
      </c>
      <c r="J209" s="1504">
        <f t="shared" si="170"/>
        <v>0.2</v>
      </c>
      <c r="K209" s="1512">
        <f t="shared" si="164"/>
        <v>61.613872101878897</v>
      </c>
      <c r="L209" s="1512">
        <f t="shared" si="140"/>
        <v>0</v>
      </c>
      <c r="M209" s="530">
        <f t="shared" si="165"/>
        <v>61.613872101878897</v>
      </c>
      <c r="N209" s="649">
        <f t="shared" si="169"/>
        <v>0.5</v>
      </c>
      <c r="O209" s="530">
        <f t="shared" si="141"/>
        <v>751.91700000000026</v>
      </c>
      <c r="P209" s="1481">
        <f t="shared" si="168"/>
        <v>813.53087210187914</v>
      </c>
      <c r="Q209" s="1364">
        <f t="shared" si="142"/>
        <v>58097.387925266135</v>
      </c>
      <c r="R209" s="1364">
        <f t="shared" si="166"/>
        <v>43621.608708043263</v>
      </c>
      <c r="S209" s="576">
        <f t="shared" si="143"/>
        <v>0.75546538962485865</v>
      </c>
      <c r="T209" s="135" t="str">
        <f t="shared" si="144"/>
        <v>Yes</v>
      </c>
      <c r="U209" s="1091">
        <f t="shared" si="145"/>
        <v>0.75546538962485865</v>
      </c>
      <c r="V209" s="1494">
        <f t="shared" si="136"/>
        <v>58762.350638373537</v>
      </c>
      <c r="W209" s="1491">
        <f t="shared" si="137"/>
        <v>0.42605901340901708</v>
      </c>
      <c r="X209" s="527">
        <f t="shared" si="146"/>
        <v>14475.779217222869</v>
      </c>
      <c r="Y209" s="1509">
        <f t="shared" si="147"/>
        <v>8252.084646628402</v>
      </c>
      <c r="Z209" s="1531">
        <f t="shared" si="148"/>
        <v>5358.4864389974309</v>
      </c>
      <c r="AA209" s="1531">
        <f t="shared" si="149"/>
        <v>0</v>
      </c>
      <c r="AB209" s="1531">
        <f t="shared" si="150"/>
        <v>30676.000335524837</v>
      </c>
      <c r="AC209" s="1531">
        <f t="shared" si="151"/>
        <v>58762.350638373537</v>
      </c>
      <c r="AD209" s="1487">
        <f t="shared" si="152"/>
        <v>0</v>
      </c>
      <c r="AE209" s="649">
        <f t="shared" si="153"/>
        <v>0.24634445456934737</v>
      </c>
      <c r="AF209" s="417">
        <f t="shared" si="154"/>
        <v>0.14043149324321871</v>
      </c>
      <c r="AG209" s="417">
        <f t="shared" si="155"/>
        <v>9.1189109706890828E-2</v>
      </c>
      <c r="AH209" s="417">
        <f t="shared" si="167"/>
        <v>0</v>
      </c>
      <c r="AI209" s="417">
        <f t="shared" si="156"/>
        <v>0.52203494248054316</v>
      </c>
      <c r="AJ209" s="525">
        <f t="shared" si="157"/>
        <v>1</v>
      </c>
      <c r="AK209" s="1497">
        <f t="shared" si="158"/>
        <v>356.0151143893284</v>
      </c>
      <c r="AL209" s="1498">
        <f t="shared" si="159"/>
        <v>13304.165797675676</v>
      </c>
      <c r="AM209" s="1498">
        <f t="shared" si="160"/>
        <v>815.59830515786018</v>
      </c>
      <c r="AN209" s="1498">
        <f t="shared" si="161"/>
        <v>14475.779217222866</v>
      </c>
      <c r="AO209" s="1184">
        <f t="shared" si="162"/>
        <v>0</v>
      </c>
    </row>
    <row r="210" spans="1:41" ht="15.75" thickBot="1">
      <c r="A210" s="172">
        <f>'Input data'!A150</f>
        <v>2050</v>
      </c>
      <c r="B210" s="664">
        <f>'Input data'!B150</f>
        <v>75.517908999999989</v>
      </c>
      <c r="C210" s="239">
        <f>'Input data'!C150</f>
        <v>8654.8011856383091</v>
      </c>
      <c r="D210" s="667">
        <f>'Input data'!E150</f>
        <v>234895.35792296397</v>
      </c>
      <c r="E210" s="670">
        <f>'Input data'!J150*C210</f>
        <v>104126.30795541168</v>
      </c>
      <c r="F210" s="667">
        <f>'Input data'!L150</f>
        <v>104361.20331333466</v>
      </c>
      <c r="G210" s="667">
        <f>G177*(1-$C$6)</f>
        <v>13687.941669523079</v>
      </c>
      <c r="H210" s="667">
        <f t="shared" si="135"/>
        <v>46280.913267313808</v>
      </c>
      <c r="I210" s="659">
        <f t="shared" si="138"/>
        <v>234.89535792296397</v>
      </c>
      <c r="J210" s="651">
        <f t="shared" si="170"/>
        <v>0.2</v>
      </c>
      <c r="K210" s="667">
        <f t="shared" si="164"/>
        <v>32.521793497932222</v>
      </c>
      <c r="L210" s="667">
        <f t="shared" si="140"/>
        <v>0</v>
      </c>
      <c r="M210" s="659">
        <f t="shared" si="165"/>
        <v>32.521793497932222</v>
      </c>
      <c r="N210" s="650">
        <f t="shared" si="169"/>
        <v>0.5</v>
      </c>
      <c r="O210" s="659">
        <f t="shared" si="141"/>
        <v>751.91700000000026</v>
      </c>
      <c r="P210" s="1482">
        <f t="shared" si="168"/>
        <v>784.43879349793247</v>
      </c>
      <c r="Q210" s="1485">
        <f t="shared" si="142"/>
        <v>59184.416143338953</v>
      </c>
      <c r="R210" s="1485">
        <f t="shared" si="166"/>
        <v>45496.474473815877</v>
      </c>
      <c r="S210" s="578">
        <f t="shared" si="143"/>
        <v>0.77117243538333768</v>
      </c>
      <c r="T210" s="1105" t="str">
        <f t="shared" si="144"/>
        <v>Yes</v>
      </c>
      <c r="U210" s="1094">
        <f t="shared" si="145"/>
        <v>0.77117243538333768</v>
      </c>
      <c r="V210" s="1495">
        <f t="shared" si="136"/>
        <v>58864.728839518793</v>
      </c>
      <c r="W210" s="1492">
        <f t="shared" si="137"/>
        <v>0.43595199201773283</v>
      </c>
      <c r="X210" s="670">
        <f t="shared" si="146"/>
        <v>13687.941669523081</v>
      </c>
      <c r="Y210" s="1518">
        <f t="shared" si="147"/>
        <v>8385.2202633090001</v>
      </c>
      <c r="Z210" s="1532">
        <f t="shared" si="148"/>
        <v>5457.3324760629976</v>
      </c>
      <c r="AA210" s="1532">
        <f t="shared" si="149"/>
        <v>0</v>
      </c>
      <c r="AB210" s="1532">
        <f t="shared" si="150"/>
        <v>31334.234430623717</v>
      </c>
      <c r="AC210" s="1532">
        <f t="shared" si="151"/>
        <v>58864.728839518793</v>
      </c>
      <c r="AD210" s="1488">
        <f t="shared" si="152"/>
        <v>0</v>
      </c>
      <c r="AE210" s="650">
        <f t="shared" si="153"/>
        <v>0.23253214512955833</v>
      </c>
      <c r="AF210" s="651">
        <f t="shared" si="154"/>
        <v>0.14244897460021236</v>
      </c>
      <c r="AG210" s="651">
        <f t="shared" si="155"/>
        <v>9.2709719107704799E-2</v>
      </c>
      <c r="AH210" s="651">
        <f t="shared" si="167"/>
        <v>0</v>
      </c>
      <c r="AI210" s="651">
        <f>AB210/AC210</f>
        <v>0.53230916116252458</v>
      </c>
      <c r="AJ210" s="652">
        <f t="shared" si="157"/>
        <v>1</v>
      </c>
      <c r="AK210" s="1499">
        <f t="shared" si="158"/>
        <v>187.91628633837115</v>
      </c>
      <c r="AL210" s="1500">
        <f t="shared" si="159"/>
        <v>12716.746249270042</v>
      </c>
      <c r="AM210" s="1500">
        <f t="shared" si="160"/>
        <v>783.27913391466359</v>
      </c>
      <c r="AN210" s="1500">
        <f t="shared" si="161"/>
        <v>13687.941669523078</v>
      </c>
      <c r="AO210" s="1185">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900" t="s">
        <v>556</v>
      </c>
      <c r="B4" s="1896" t="s">
        <v>557</v>
      </c>
      <c r="C4" s="579">
        <v>0.5</v>
      </c>
      <c r="D4" s="116">
        <f>2017+10</f>
        <v>2027</v>
      </c>
      <c r="E4" s="579">
        <v>0.5</v>
      </c>
      <c r="F4" s="116">
        <f>2017+5</f>
        <v>2022</v>
      </c>
      <c r="G4" s="579">
        <f>E4</f>
        <v>0.5</v>
      </c>
      <c r="H4" s="116">
        <f>F4</f>
        <v>2022</v>
      </c>
      <c r="J4" s="99"/>
      <c r="K4" s="99"/>
    </row>
    <row r="5" spans="1:11">
      <c r="A5" s="1850"/>
      <c r="B5" s="1876"/>
      <c r="C5" s="575">
        <v>0.65</v>
      </c>
      <c r="D5" s="130">
        <f>2017+20</f>
        <v>2037</v>
      </c>
      <c r="E5" s="575">
        <f t="shared" ref="E5:E6" si="0">C5</f>
        <v>0.65</v>
      </c>
      <c r="F5" s="130">
        <f>2017+10</f>
        <v>2027</v>
      </c>
      <c r="G5" s="575">
        <f t="shared" ref="G5:H6" si="1">E5</f>
        <v>0.65</v>
      </c>
      <c r="H5" s="130">
        <f t="shared" si="1"/>
        <v>2027</v>
      </c>
      <c r="J5" s="99"/>
      <c r="K5" s="99"/>
    </row>
    <row r="6" spans="1:11" ht="15.75" thickBot="1">
      <c r="A6" s="1851"/>
      <c r="B6" s="1877"/>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78" t="s">
        <v>574</v>
      </c>
      <c r="B8" s="1702" t="s">
        <v>485</v>
      </c>
      <c r="C8" s="1703"/>
      <c r="D8" s="1703"/>
      <c r="E8" s="1703"/>
      <c r="F8" s="1704"/>
      <c r="G8" s="1702" t="s">
        <v>532</v>
      </c>
      <c r="H8" s="1703"/>
      <c r="I8" s="1704"/>
      <c r="J8" s="327"/>
      <c r="K8" s="99"/>
    </row>
    <row r="9" spans="1:11" ht="32.25" thickBot="1">
      <c r="A9" s="1879"/>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50" t="s">
        <v>560</v>
      </c>
      <c r="B26" s="1876" t="s">
        <v>557</v>
      </c>
      <c r="C26" s="575">
        <v>0.25</v>
      </c>
      <c r="D26" s="104">
        <f>2017+5</f>
        <v>2022</v>
      </c>
      <c r="E26" s="1905">
        <v>0.5</v>
      </c>
      <c r="F26" s="1907">
        <f>2017+5</f>
        <v>2022</v>
      </c>
      <c r="G26" s="1874">
        <f>E26</f>
        <v>0.5</v>
      </c>
      <c r="H26" s="1907">
        <f>F26</f>
        <v>2022</v>
      </c>
    </row>
    <row r="27" spans="1:11" ht="15.75" thickBot="1">
      <c r="A27" s="1851"/>
      <c r="B27" s="1877"/>
      <c r="C27" s="577">
        <v>0.5</v>
      </c>
      <c r="D27" s="163">
        <f>2017+10</f>
        <v>2027</v>
      </c>
      <c r="E27" s="1906"/>
      <c r="F27" s="1908"/>
      <c r="G27" s="1875"/>
      <c r="H27" s="1908"/>
    </row>
    <row r="28" spans="1:11" ht="15.75" thickBot="1">
      <c r="A28" s="681"/>
      <c r="B28" s="681"/>
      <c r="C28" s="576"/>
      <c r="D28" s="104"/>
      <c r="E28" s="576"/>
      <c r="F28" s="104"/>
      <c r="G28" s="576"/>
      <c r="H28" s="104"/>
    </row>
    <row r="29" spans="1:11">
      <c r="A29" s="594"/>
      <c r="B29" s="600"/>
      <c r="C29" s="1902" t="s">
        <v>551</v>
      </c>
      <c r="D29" s="1903"/>
      <c r="E29" s="1902" t="s">
        <v>552</v>
      </c>
      <c r="F29" s="1903"/>
      <c r="G29" s="1904" t="s">
        <v>553</v>
      </c>
      <c r="H29" s="1903"/>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5" t="s">
        <v>551</v>
      </c>
      <c r="B36" s="990">
        <v>2030</v>
      </c>
      <c r="C36" s="608">
        <f>C35</f>
        <v>0</v>
      </c>
      <c r="D36" s="604">
        <f>D35</f>
        <v>0</v>
      </c>
      <c r="E36" s="604">
        <f>1-F36-G36</f>
        <v>0.7</v>
      </c>
      <c r="F36" s="604">
        <f>F35/2</f>
        <v>0.15</v>
      </c>
      <c r="G36" s="605">
        <f>G35/2</f>
        <v>0.15</v>
      </c>
      <c r="H36" t="s">
        <v>565</v>
      </c>
    </row>
    <row r="37" spans="1:24">
      <c r="A37" s="1855"/>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1" t="s">
        <v>6</v>
      </c>
      <c r="D42" s="1868"/>
      <c r="E42" s="1868"/>
      <c r="F42" s="1868"/>
      <c r="G42" s="1868"/>
      <c r="H42" s="1868"/>
      <c r="I42" s="1869"/>
      <c r="J42" s="1867" t="s">
        <v>298</v>
      </c>
      <c r="K42" s="1868"/>
      <c r="L42" s="1868"/>
      <c r="M42" s="1868"/>
      <c r="N42" s="1868"/>
      <c r="O42" s="1868"/>
      <c r="P42" s="1869"/>
      <c r="Q42" s="1852" t="s">
        <v>299</v>
      </c>
      <c r="R42" s="1852"/>
      <c r="S42" s="1852"/>
      <c r="T42" s="1852"/>
      <c r="U42" s="1852"/>
      <c r="V42" s="1852"/>
      <c r="W42" s="1853"/>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7"/>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48"/>
      <c r="E57" s="1348"/>
      <c r="F57" s="1348"/>
      <c r="G57" s="1348"/>
      <c r="H57" s="1348"/>
      <c r="I57" s="1348"/>
      <c r="J57" s="334"/>
      <c r="K57" s="334"/>
      <c r="L57" s="334"/>
      <c r="M57" s="334"/>
      <c r="N57" s="334"/>
      <c r="O57" s="334"/>
      <c r="P57" s="334"/>
      <c r="Q57" s="10"/>
      <c r="R57" s="10"/>
      <c r="S57" s="10"/>
      <c r="W57" s="313"/>
      <c r="Y57" s="314"/>
      <c r="Z57" s="314"/>
      <c r="AA57" s="314"/>
    </row>
    <row r="58" spans="1:28" ht="16.5" thickBot="1">
      <c r="A58" s="1305" t="s">
        <v>749</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c r="O58" s="613"/>
      <c r="P58" s="613"/>
      <c r="Q58" s="10"/>
      <c r="R58" s="10"/>
      <c r="S58" s="10"/>
      <c r="W58" s="313"/>
      <c r="X58" s="315"/>
      <c r="Y58" s="313"/>
      <c r="Z58" s="313"/>
      <c r="AA58" s="313"/>
    </row>
    <row r="59" spans="1:28">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O59" s="614"/>
      <c r="P59" s="614"/>
      <c r="Q59" s="342"/>
      <c r="R59" s="10"/>
      <c r="S59" s="10"/>
      <c r="W59" s="314"/>
      <c r="Y59" s="314"/>
      <c r="Z59" s="314"/>
      <c r="AA59" s="314"/>
    </row>
    <row r="60" spans="1:28" ht="15.75">
      <c r="A60" s="1311" t="s">
        <v>334</v>
      </c>
      <c r="B60" s="1308" t="s">
        <v>335</v>
      </c>
      <c r="C60" s="1312">
        <f>'Input data'!C14</f>
        <v>964286</v>
      </c>
      <c r="D60" s="1349">
        <f>'Input data'!D14</f>
        <v>964286</v>
      </c>
      <c r="E60" s="1349">
        <f>'Input data'!E14</f>
        <v>0</v>
      </c>
      <c r="F60" s="1349">
        <f>'Input data'!F14</f>
        <v>0</v>
      </c>
      <c r="G60" s="1349">
        <f>'Input data'!G14</f>
        <v>0</v>
      </c>
      <c r="H60" s="1349">
        <f>'Input data'!H14</f>
        <v>0</v>
      </c>
      <c r="I60" s="1349">
        <f>'Input data'!I14</f>
        <v>2892858</v>
      </c>
      <c r="J60" s="1349">
        <f>'Input data'!J14</f>
        <v>0</v>
      </c>
      <c r="K60" s="1349">
        <f>'Input data'!K14</f>
        <v>0</v>
      </c>
      <c r="L60" s="1349">
        <f>'Input data'!L14</f>
        <v>0</v>
      </c>
      <c r="M60" s="1349">
        <f>'Input data'!M14</f>
        <v>0</v>
      </c>
      <c r="N60" s="1324">
        <f>'Input data'!N14</f>
        <v>4821430</v>
      </c>
      <c r="O60" s="614"/>
      <c r="P60" s="614"/>
      <c r="Q60" s="10"/>
      <c r="R60" s="10"/>
      <c r="S60" s="10"/>
      <c r="W60" s="313"/>
      <c r="Y60" s="314"/>
      <c r="Z60" s="314"/>
      <c r="AA60" s="314"/>
    </row>
    <row r="61" spans="1:28" ht="15.75">
      <c r="A61" s="1311" t="s">
        <v>336</v>
      </c>
      <c r="B61" s="1308" t="s">
        <v>337</v>
      </c>
      <c r="C61" s="1312">
        <f>'Input data'!C15</f>
        <v>72176.800000000003</v>
      </c>
      <c r="D61" s="1349">
        <f>'Input data'!D15</f>
        <v>72176.800000000003</v>
      </c>
      <c r="E61" s="1349">
        <f>'Input data'!E15</f>
        <v>0</v>
      </c>
      <c r="F61" s="1349">
        <f>'Input data'!F15</f>
        <v>0</v>
      </c>
      <c r="G61" s="1349">
        <f>'Input data'!G15</f>
        <v>0</v>
      </c>
      <c r="H61" s="1349">
        <f>'Input data'!H15</f>
        <v>0</v>
      </c>
      <c r="I61" s="1349">
        <f>'Input data'!I15</f>
        <v>216530.4</v>
      </c>
      <c r="J61" s="1349">
        <f>'Input data'!J15</f>
        <v>0</v>
      </c>
      <c r="K61" s="1349">
        <f>'Input data'!K15</f>
        <v>0</v>
      </c>
      <c r="L61" s="1349">
        <f>'Input data'!L15</f>
        <v>0</v>
      </c>
      <c r="M61" s="1349">
        <f>'Input data'!M15</f>
        <v>0</v>
      </c>
      <c r="N61" s="1324">
        <f>'Input data'!N15</f>
        <v>360884</v>
      </c>
      <c r="O61" s="614"/>
      <c r="P61" s="614"/>
      <c r="Q61" s="10"/>
      <c r="R61" s="10"/>
      <c r="S61" s="10"/>
      <c r="W61" s="313"/>
      <c r="Y61" s="314"/>
      <c r="Z61" s="314"/>
      <c r="AA61" s="313"/>
    </row>
    <row r="62" spans="1:28" ht="15.75">
      <c r="A62" s="1311" t="s">
        <v>338</v>
      </c>
      <c r="B62" s="1308" t="s">
        <v>339</v>
      </c>
      <c r="C62" s="1312">
        <f>'Input data'!C16</f>
        <v>0</v>
      </c>
      <c r="D62" s="1349">
        <f>'Input data'!D16</f>
        <v>0</v>
      </c>
      <c r="E62" s="1349">
        <f>'Input data'!E16</f>
        <v>520349.97572976683</v>
      </c>
      <c r="F62" s="1349">
        <f>'Input data'!F16</f>
        <v>0</v>
      </c>
      <c r="G62" s="1349">
        <f>'Input data'!G16</f>
        <v>0</v>
      </c>
      <c r="H62" s="1349">
        <f>'Input data'!H16</f>
        <v>0</v>
      </c>
      <c r="I62" s="1349">
        <f>'Input data'!I16</f>
        <v>0</v>
      </c>
      <c r="J62" s="1349">
        <f>'Input data'!J16</f>
        <v>237880.00199999998</v>
      </c>
      <c r="K62" s="1349">
        <f>'Input data'!K16</f>
        <v>465419.88531509798</v>
      </c>
      <c r="L62" s="1349">
        <f>'Input data'!L16</f>
        <v>409141.02549420868</v>
      </c>
      <c r="M62" s="1349">
        <f>'Input data'!M16</f>
        <v>123895.58799999999</v>
      </c>
      <c r="N62" s="1324">
        <f>'Input data'!N16</f>
        <v>1756686.4765390735</v>
      </c>
      <c r="O62" s="614"/>
      <c r="P62" s="614"/>
      <c r="Q62" s="10"/>
      <c r="R62" s="10"/>
      <c r="S62" s="10"/>
      <c r="W62" s="312"/>
      <c r="Y62" s="312"/>
      <c r="Z62" s="312"/>
      <c r="AA62" s="312"/>
      <c r="AB62" s="312"/>
    </row>
    <row r="63" spans="1:28" ht="15.75">
      <c r="A63" s="1311" t="s">
        <v>338</v>
      </c>
      <c r="B63" s="1308" t="s">
        <v>340</v>
      </c>
      <c r="C63" s="1312">
        <f>'Input data'!C17</f>
        <v>0</v>
      </c>
      <c r="D63" s="1349">
        <f>'Input data'!D17</f>
        <v>0</v>
      </c>
      <c r="E63" s="1349">
        <f>'Input data'!E17</f>
        <v>1241029.48</v>
      </c>
      <c r="F63" s="1349">
        <f>'Input data'!F17</f>
        <v>0</v>
      </c>
      <c r="G63" s="1349">
        <f>'Input data'!G17</f>
        <v>0</v>
      </c>
      <c r="H63" s="1349">
        <f>'Input data'!H17</f>
        <v>0</v>
      </c>
      <c r="I63" s="1349">
        <f>'Input data'!I17</f>
        <v>0</v>
      </c>
      <c r="J63" s="1349">
        <f>'Input data'!J17</f>
        <v>480373.99800000002</v>
      </c>
      <c r="K63" s="1349">
        <f>'Input data'!K17</f>
        <v>1987194.1360000002</v>
      </c>
      <c r="L63" s="1349">
        <f>'Input data'!L17</f>
        <v>2826447.2</v>
      </c>
      <c r="M63" s="1349">
        <f>'Input data'!M17</f>
        <v>38271.412000000004</v>
      </c>
      <c r="N63" s="1324">
        <f>'Input data'!N17</f>
        <v>6573316.2259999998</v>
      </c>
      <c r="O63" s="614"/>
      <c r="P63" s="614"/>
      <c r="Q63" s="10"/>
      <c r="R63" s="10"/>
      <c r="S63" s="10"/>
      <c r="W63" s="312"/>
      <c r="Y63" s="312"/>
      <c r="Z63" s="312"/>
      <c r="AA63" s="312"/>
      <c r="AB63" s="312"/>
    </row>
    <row r="64" spans="1:28" ht="15.75">
      <c r="A64" s="1311" t="s">
        <v>341</v>
      </c>
      <c r="B64" s="1308" t="s">
        <v>342</v>
      </c>
      <c r="C64" s="1312">
        <f>'Input data'!C18</f>
        <v>2500000</v>
      </c>
      <c r="D64" s="1349">
        <f>'Input data'!D18</f>
        <v>4200000</v>
      </c>
      <c r="E64" s="1349">
        <f>'Input data'!E18</f>
        <v>0</v>
      </c>
      <c r="F64" s="1349">
        <f>'Input data'!F18</f>
        <v>0</v>
      </c>
      <c r="G64" s="1349">
        <f>'Input data'!G18</f>
        <v>0</v>
      </c>
      <c r="H64" s="1349">
        <f>'Input data'!H18</f>
        <v>0</v>
      </c>
      <c r="I64" s="1349">
        <f>'Input data'!I18</f>
        <v>0</v>
      </c>
      <c r="J64" s="1349">
        <f>'Input data'!J18</f>
        <v>0</v>
      </c>
      <c r="K64" s="1349">
        <f>'Input data'!K18</f>
        <v>0</v>
      </c>
      <c r="L64" s="1349">
        <f>'Input data'!L18</f>
        <v>0</v>
      </c>
      <c r="M64" s="1349">
        <f>'Input data'!M18</f>
        <v>0</v>
      </c>
      <c r="N64" s="1324">
        <f>'Input data'!N18</f>
        <v>6700000</v>
      </c>
      <c r="O64" s="614"/>
      <c r="P64" s="614"/>
      <c r="Q64" s="10"/>
      <c r="R64" s="10"/>
      <c r="S64" s="10"/>
      <c r="W64" s="312"/>
      <c r="Y64" s="312"/>
      <c r="Z64" s="312"/>
      <c r="AA64" s="312"/>
      <c r="AB64" s="312"/>
    </row>
    <row r="65" spans="1:28" ht="15.75">
      <c r="A65" s="1313"/>
      <c r="B65" s="1314" t="s">
        <v>343</v>
      </c>
      <c r="C65" s="1312">
        <f>'Input data'!C19</f>
        <v>4770254.2119790548</v>
      </c>
      <c r="D65" s="1349">
        <f>'Input data'!D19</f>
        <v>6375347.1802883577</v>
      </c>
      <c r="E65" s="1349">
        <f>'Input data'!E19</f>
        <v>2139706</v>
      </c>
      <c r="F65" s="1349">
        <f>'Input data'!F19</f>
        <v>0</v>
      </c>
      <c r="G65" s="1349">
        <f>'Input data'!G19</f>
        <v>0</v>
      </c>
      <c r="H65" s="1349">
        <f>'Input data'!H19</f>
        <v>0</v>
      </c>
      <c r="I65" s="1349">
        <f>'Input data'!I19</f>
        <v>3109388.4</v>
      </c>
      <c r="J65" s="1349">
        <f>'Input data'!J19</f>
        <v>1099254</v>
      </c>
      <c r="K65" s="1349">
        <f>'Input data'!K19</f>
        <v>2791003</v>
      </c>
      <c r="L65" s="1349">
        <f>'Input data'!L19</f>
        <v>3533059</v>
      </c>
      <c r="M65" s="1349">
        <f>'Input data'!M19</f>
        <v>162167</v>
      </c>
      <c r="N65" s="1324">
        <f>'Input data'!N19</f>
        <v>23980178.792267412</v>
      </c>
      <c r="O65" s="615"/>
      <c r="P65" s="615"/>
      <c r="Q65" s="10"/>
      <c r="R65" s="10"/>
      <c r="S65" s="10"/>
      <c r="W65" s="312"/>
      <c r="Y65" s="312"/>
      <c r="Z65" s="312"/>
      <c r="AA65" s="312"/>
      <c r="AB65" s="312"/>
    </row>
    <row r="66" spans="1:28" ht="15.75">
      <c r="A66" s="1313"/>
      <c r="B66" s="1315" t="s">
        <v>496</v>
      </c>
      <c r="C66" s="1312">
        <f>'Input data'!C20</f>
        <v>2674712.2259895275</v>
      </c>
      <c r="D66" s="1349">
        <f>'Input data'!D20</f>
        <v>3392258.7101441789</v>
      </c>
      <c r="E66" s="1349">
        <f>'Input data'!E20</f>
        <v>657478.25029190676</v>
      </c>
      <c r="F66" s="1349">
        <f>'Input data'!F20</f>
        <v>0</v>
      </c>
      <c r="G66" s="1349">
        <f>'Input data'!G20</f>
        <v>0</v>
      </c>
      <c r="H66" s="1349">
        <f>'Input data'!H20</f>
        <v>0</v>
      </c>
      <c r="I66" s="1349">
        <f>'Input data'!I20</f>
        <v>2798449.56</v>
      </c>
      <c r="J66" s="1349">
        <f>'Input data'!J20</f>
        <v>404592.00179999997</v>
      </c>
      <c r="K66" s="1349">
        <f>'Input data'!K20</f>
        <v>588072.38612603908</v>
      </c>
      <c r="L66" s="1349">
        <f>'Input data'!L20</f>
        <v>516962.3101976834</v>
      </c>
      <c r="M66" s="1349">
        <f>'Input data'!M20</f>
        <v>111506.02919999999</v>
      </c>
      <c r="N66" s="1324">
        <f>'Input data'!N20</f>
        <v>11144031.473749338</v>
      </c>
      <c r="O66" s="615"/>
      <c r="P66" s="615"/>
      <c r="Q66" s="10"/>
      <c r="R66" s="10"/>
      <c r="S66" s="10"/>
      <c r="W66" s="312"/>
      <c r="Y66" s="312"/>
      <c r="Z66" s="312"/>
      <c r="AA66" s="312"/>
      <c r="AB66" s="312"/>
    </row>
    <row r="67" spans="1:28" ht="16.5" thickBot="1">
      <c r="A67" s="1313"/>
      <c r="B67" s="1315" t="s">
        <v>744</v>
      </c>
      <c r="C67" s="1312">
        <f>'Input data'!C21</f>
        <v>845541.98598952731</v>
      </c>
      <c r="D67" s="1349">
        <f>'Input data'!D21</f>
        <v>883088.47014417872</v>
      </c>
      <c r="E67" s="1349">
        <f>'Input data'!E21</f>
        <v>241198.26970809326</v>
      </c>
      <c r="F67" s="1349">
        <f>'Input data'!F21</f>
        <v>0</v>
      </c>
      <c r="G67" s="1349">
        <f>'Input data'!G21</f>
        <v>0</v>
      </c>
      <c r="H67" s="1349">
        <f>'Input data'!H21</f>
        <v>0</v>
      </c>
      <c r="I67" s="1349">
        <f>'Input data'!I21</f>
        <v>310938.83999999985</v>
      </c>
      <c r="J67" s="1349">
        <f>'Input data'!J21</f>
        <v>214288.00020000001</v>
      </c>
      <c r="K67" s="1349">
        <f>'Input data'!K21</f>
        <v>215736.47787396074</v>
      </c>
      <c r="L67" s="1349">
        <f>'Input data'!L21</f>
        <v>189649.4898023163</v>
      </c>
      <c r="M67" s="1349">
        <f>'Input data'!M21</f>
        <v>12389.558800000006</v>
      </c>
      <c r="N67" s="1324">
        <f>'Input data'!N21</f>
        <v>2912831.0925180763</v>
      </c>
      <c r="O67" s="615"/>
      <c r="P67" s="615"/>
      <c r="Q67" s="10"/>
      <c r="R67" s="10"/>
      <c r="S67" s="10"/>
      <c r="W67" s="312"/>
      <c r="Y67" s="312"/>
      <c r="Z67" s="312"/>
      <c r="AA67" s="312"/>
      <c r="AB67" s="312"/>
    </row>
    <row r="68" spans="1:28"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O68" s="616"/>
      <c r="P68" s="616"/>
      <c r="Q68" s="10"/>
      <c r="R68" s="10"/>
      <c r="S68" s="10"/>
      <c r="W68" s="312"/>
      <c r="Y68" s="312"/>
      <c r="Z68" s="312"/>
      <c r="AA68" s="312"/>
      <c r="AB68" s="312"/>
    </row>
    <row r="69" spans="1:28" ht="15.75">
      <c r="A69" s="1313"/>
      <c r="B69" s="1317"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1" t="s">
        <v>334</v>
      </c>
      <c r="B70" s="1317"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1" t="s">
        <v>336</v>
      </c>
      <c r="B71" s="1317"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1" t="s">
        <v>338</v>
      </c>
      <c r="B72" s="1317"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1" t="s">
        <v>338</v>
      </c>
      <c r="B73" s="1317"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1" t="s">
        <v>341</v>
      </c>
      <c r="B74" s="1317"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3"/>
      <c r="B75" s="1315"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3"/>
      <c r="B76" s="1315"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18"/>
      <c r="B77" s="1319"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O78" s="339"/>
      <c r="P78" s="339"/>
      <c r="Q78" s="7"/>
      <c r="R78" s="338"/>
      <c r="S78" s="338"/>
      <c r="T78" s="4"/>
      <c r="U78" s="4"/>
      <c r="Y78" s="745"/>
    </row>
    <row r="79" spans="1:28"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O79" s="339"/>
      <c r="P79" s="339"/>
      <c r="Q79" s="7"/>
      <c r="R79" s="338"/>
      <c r="S79" s="338"/>
      <c r="T79" s="4"/>
      <c r="U79" s="4"/>
      <c r="Y79" s="745"/>
    </row>
    <row r="80" spans="1:28" ht="16.5" thickBot="1">
      <c r="A80" s="1318"/>
      <c r="B80" s="1318" t="s">
        <v>374</v>
      </c>
      <c r="C80" s="1325">
        <f t="shared" ref="C80:H80" si="8">C79/$C$79</f>
        <v>1</v>
      </c>
      <c r="D80" s="1326">
        <f t="shared" si="8"/>
        <v>0</v>
      </c>
      <c r="E80" s="1326">
        <f t="shared" si="8"/>
        <v>0.93845226140483384</v>
      </c>
      <c r="F80" s="1326">
        <f t="shared" si="8"/>
        <v>0</v>
      </c>
      <c r="G80" s="1326">
        <f t="shared" si="8"/>
        <v>0</v>
      </c>
      <c r="H80" s="1327">
        <f t="shared" si="8"/>
        <v>6.154773859516615E-2</v>
      </c>
      <c r="L80" s="1322"/>
      <c r="M80" s="1322"/>
      <c r="N80" s="1322"/>
      <c r="O80" s="339"/>
      <c r="P80" s="339"/>
      <c r="Q80" s="7"/>
      <c r="R80" s="338"/>
      <c r="S80" s="338"/>
      <c r="T80" s="4"/>
      <c r="U80" s="4"/>
      <c r="Y80" s="745"/>
    </row>
    <row r="81" spans="1:91" s="4" customFormat="1" ht="15.75">
      <c r="A81" s="99"/>
      <c r="B81" s="99"/>
      <c r="C81" s="1332"/>
      <c r="D81" s="1332"/>
      <c r="E81" s="1332"/>
      <c r="F81" s="1332"/>
      <c r="G81" s="1332"/>
      <c r="H81" s="1332"/>
      <c r="L81" s="1394"/>
      <c r="M81" s="1394"/>
      <c r="N81" s="1394"/>
      <c r="O81" s="1332"/>
      <c r="P81" s="1332"/>
      <c r="Q81" s="7"/>
      <c r="R81" s="1395"/>
      <c r="S81" s="1395"/>
      <c r="Y81" s="1396"/>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23" t="s">
        <v>602</v>
      </c>
      <c r="B94" s="1824"/>
      <c r="C94" s="1824"/>
      <c r="D94" s="1825"/>
      <c r="E94" s="1857" t="s">
        <v>600</v>
      </c>
      <c r="F94" s="1858"/>
      <c r="G94" s="1859"/>
      <c r="H94" s="1931" t="s">
        <v>601</v>
      </c>
      <c r="I94" s="1932"/>
      <c r="J94" s="1932"/>
      <c r="K94" s="1933"/>
      <c r="L94" s="1831" t="s">
        <v>598</v>
      </c>
      <c r="M94" s="1923"/>
      <c r="N94" s="1923"/>
      <c r="O94" s="1923"/>
      <c r="P94" s="1924"/>
      <c r="Q94" s="1922" t="s">
        <v>782</v>
      </c>
      <c r="R94" s="1923"/>
      <c r="S94" s="1923"/>
      <c r="T94" s="1923"/>
      <c r="U94" s="1924"/>
      <c r="V94" s="1915" t="s">
        <v>599</v>
      </c>
      <c r="W94" s="1780" t="s">
        <v>608</v>
      </c>
      <c r="X94" s="1782"/>
      <c r="Y94" s="1865" t="s">
        <v>594</v>
      </c>
      <c r="Z94" s="1845" t="s">
        <v>770</v>
      </c>
      <c r="AA94" s="1917" t="s">
        <v>778</v>
      </c>
      <c r="AB94" s="1838" t="s">
        <v>780</v>
      </c>
      <c r="AC94" s="1847" t="s">
        <v>788</v>
      </c>
      <c r="AD94" s="1838" t="s">
        <v>780</v>
      </c>
      <c r="AE94" s="1838" t="s">
        <v>779</v>
      </c>
      <c r="AF94" s="1894" t="s">
        <v>781</v>
      </c>
      <c r="AG94" s="1886" t="s">
        <v>609</v>
      </c>
      <c r="AH94" s="1886"/>
      <c r="AI94" s="1886"/>
      <c r="AJ94" s="1886"/>
      <c r="AK94" s="1886"/>
      <c r="AL94" s="1886"/>
      <c r="AM94" s="1887"/>
      <c r="AN94" s="1887"/>
      <c r="AO94" s="1887"/>
      <c r="AP94" s="1887"/>
      <c r="AQ94" s="1887"/>
      <c r="AR94" s="1870" t="s">
        <v>612</v>
      </c>
      <c r="AS94" s="1871"/>
      <c r="AT94" s="1871"/>
      <c r="AU94" s="1871"/>
      <c r="AV94" s="1871"/>
      <c r="AW94" s="1871"/>
      <c r="AX94" s="1871"/>
      <c r="AY94" s="1871"/>
      <c r="AZ94" s="1871"/>
      <c r="BA94" s="1871"/>
      <c r="BB94" s="1871"/>
      <c r="BC94" s="1836" t="s">
        <v>225</v>
      </c>
      <c r="BD94" s="1806" t="s">
        <v>616</v>
      </c>
      <c r="BE94" s="1872" t="s">
        <v>610</v>
      </c>
      <c r="BF94" s="1872"/>
      <c r="BG94" s="1872"/>
      <c r="BH94" s="1872"/>
      <c r="BI94" s="1872"/>
      <c r="BJ94" s="1872"/>
      <c r="BK94" s="1872"/>
      <c r="BL94" s="1873"/>
      <c r="BM94" s="1713" t="s">
        <v>741</v>
      </c>
      <c r="BN94" s="1714"/>
      <c r="BO94" s="1714"/>
      <c r="BP94" s="1714"/>
      <c r="BQ94" s="1714"/>
      <c r="BR94" s="1714"/>
      <c r="BS94" s="1714"/>
      <c r="BT94" s="1715"/>
      <c r="BV94" s="1911" t="s">
        <v>646</v>
      </c>
      <c r="BW94" s="1912"/>
      <c r="BX94" s="1913"/>
      <c r="BY94" s="1911" t="s">
        <v>650</v>
      </c>
      <c r="BZ94" s="1912"/>
      <c r="CA94" s="1913"/>
      <c r="CB94" s="1909" t="s">
        <v>647</v>
      </c>
      <c r="CC94" s="1910"/>
      <c r="CD94" s="1811" t="s">
        <v>651</v>
      </c>
      <c r="CE94" s="1810"/>
      <c r="CG94" s="1801" t="s">
        <v>742</v>
      </c>
      <c r="CH94" s="1802"/>
      <c r="CI94" s="1802"/>
      <c r="CJ94" s="1802"/>
      <c r="CK94" s="1802"/>
      <c r="CL94" s="1802"/>
      <c r="CM94" s="1803"/>
    </row>
    <row r="95" spans="1:91" s="10" customFormat="1" ht="42.6" customHeight="1" thickBot="1">
      <c r="A95" s="1821"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6" t="s">
        <v>582</v>
      </c>
      <c r="V95" s="1916"/>
      <c r="W95" s="1595" t="s">
        <v>605</v>
      </c>
      <c r="X95" s="1596" t="s">
        <v>576</v>
      </c>
      <c r="Y95" s="1866"/>
      <c r="Z95" s="1846"/>
      <c r="AA95" s="1918"/>
      <c r="AB95" s="1839"/>
      <c r="AC95" s="1848"/>
      <c r="AD95" s="1839"/>
      <c r="AE95" s="1839"/>
      <c r="AF95" s="1895"/>
      <c r="AG95" s="1579" t="s">
        <v>473</v>
      </c>
      <c r="AH95" s="1580" t="s">
        <v>489</v>
      </c>
      <c r="AI95" s="1636" t="s">
        <v>814</v>
      </c>
      <c r="AJ95" s="1580" t="s">
        <v>377</v>
      </c>
      <c r="AK95" s="1580" t="s">
        <v>225</v>
      </c>
      <c r="AL95" s="713" t="s">
        <v>591</v>
      </c>
      <c r="AM95" s="1579" t="s">
        <v>473</v>
      </c>
      <c r="AN95" s="1580" t="s">
        <v>489</v>
      </c>
      <c r="AO95" s="1636" t="s">
        <v>814</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7"/>
      <c r="BD95" s="1807"/>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68" t="s">
        <v>267</v>
      </c>
      <c r="CC95" s="1269" t="s">
        <v>633</v>
      </c>
      <c r="CD95" s="1270" t="s">
        <v>267</v>
      </c>
      <c r="CE95" s="1271" t="s">
        <v>633</v>
      </c>
      <c r="CF95"/>
      <c r="CG95" s="1258" t="s">
        <v>87</v>
      </c>
      <c r="CH95" s="1259" t="s">
        <v>323</v>
      </c>
      <c r="CI95" s="1259" t="s">
        <v>324</v>
      </c>
      <c r="CJ95" s="1259" t="s">
        <v>325</v>
      </c>
      <c r="CK95" s="1260" t="s">
        <v>582</v>
      </c>
      <c r="CL95" s="1259" t="s">
        <v>303</v>
      </c>
      <c r="CM95" s="1804" t="s">
        <v>743</v>
      </c>
    </row>
    <row r="96" spans="1:91" ht="30.75" thickBot="1">
      <c r="A96" s="1856"/>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688" t="s">
        <v>229</v>
      </c>
      <c r="X96" s="554" t="s">
        <v>228</v>
      </c>
      <c r="Y96" s="1115" t="s">
        <v>228</v>
      </c>
      <c r="Z96" s="1116" t="s">
        <v>228</v>
      </c>
      <c r="AA96" s="1471" t="s">
        <v>228</v>
      </c>
      <c r="AB96" s="1840"/>
      <c r="AC96" s="1848"/>
      <c r="AD96" s="1840"/>
      <c r="AE96" s="1644" t="s">
        <v>28</v>
      </c>
      <c r="AF96" s="1645" t="s">
        <v>3</v>
      </c>
      <c r="AG96" s="191"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8"/>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1098" t="s">
        <v>625</v>
      </c>
      <c r="BW96" s="40" t="s">
        <v>229</v>
      </c>
      <c r="BX96" s="1099" t="s">
        <v>625</v>
      </c>
      <c r="BY96" s="1098" t="s">
        <v>625</v>
      </c>
      <c r="BZ96" s="40" t="s">
        <v>229</v>
      </c>
      <c r="CA96" s="1099" t="s">
        <v>625</v>
      </c>
      <c r="CB96" s="1573" t="s">
        <v>229</v>
      </c>
      <c r="CC96" s="1574" t="s">
        <v>229</v>
      </c>
      <c r="CD96" s="1476" t="s">
        <v>229</v>
      </c>
      <c r="CE96" s="1477" t="s">
        <v>229</v>
      </c>
      <c r="CG96" s="1272" t="s">
        <v>227</v>
      </c>
      <c r="CH96" s="1259" t="s">
        <v>227</v>
      </c>
      <c r="CI96" s="1259" t="s">
        <v>227</v>
      </c>
      <c r="CJ96" s="1259" t="s">
        <v>227</v>
      </c>
      <c r="CK96" s="1259" t="s">
        <v>227</v>
      </c>
      <c r="CL96" s="1259" t="s">
        <v>227</v>
      </c>
      <c r="CM96" s="1804"/>
    </row>
    <row r="97" spans="1:91">
      <c r="A97" s="127">
        <f>'Input data'!A117</f>
        <v>2017</v>
      </c>
      <c r="B97" s="662">
        <f>'Input data'!B117</f>
        <v>56.521948041648095</v>
      </c>
      <c r="C97" s="236">
        <f>'Input data'!C117</f>
        <v>3117.5115237718705</v>
      </c>
      <c r="D97" s="236">
        <f>'Input data'!D117</f>
        <v>49995051</v>
      </c>
      <c r="E97" s="708">
        <f>'Input data'!F117</f>
        <v>0.71479999999999999</v>
      </c>
      <c r="F97" s="647">
        <f>'Input data'!G117</f>
        <v>0.28959999999999997</v>
      </c>
      <c r="G97" s="1696">
        <f>'Input data'!H117</f>
        <v>501</v>
      </c>
      <c r="H97" s="529">
        <f>'Input data'!I117</f>
        <v>424.26313389388866</v>
      </c>
      <c r="I97" s="528">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7">
        <f>H97*$M$75*P97*B97-H97*$M$75*$P$97*B97</f>
        <v>0</v>
      </c>
      <c r="V97" s="528">
        <f t="shared" ref="V97:V130" si="9">SUM(Q97:U97)</f>
        <v>0</v>
      </c>
      <c r="W97" s="708">
        <v>0</v>
      </c>
      <c r="X97" s="1467">
        <f>W97*($C$76+$D$76)*$B$10*$I$97</f>
        <v>0</v>
      </c>
      <c r="Y97" s="957">
        <f>X97+V97</f>
        <v>0</v>
      </c>
      <c r="Z97" s="957">
        <f>$J$97-Y97</f>
        <v>11144.031481960794</v>
      </c>
      <c r="AA97" s="1467">
        <f>Z97-J97</f>
        <v>0</v>
      </c>
      <c r="AB97" s="1091">
        <f>AA97/Z97</f>
        <v>0</v>
      </c>
      <c r="AC97" s="1489"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3">
        <f t="shared" ref="AR97:AR130" si="14">(I97*$C$76*$B$10-$C$66/($D$66+$C$66)*X97)*(1-AD97)</f>
        <v>2674.7122279603836</v>
      </c>
      <c r="AS97" s="1373">
        <f t="shared" ref="AS97:AS130" si="15">(I97*$D$76*$B$10-$D$66/($D$66+$C$66)*X97)*(1-AD97)</f>
        <v>3392.2587126437579</v>
      </c>
      <c r="AT97" s="1373">
        <f t="shared" ref="AT97:AT130" si="16">(I97*$B$10*$E$76-(Q97))*(1-AD97)</f>
        <v>657.47825077636821</v>
      </c>
      <c r="AU97" s="1373">
        <f t="shared" ref="AU97:AU130" si="17">I97*$F$76*(1-AD97)*$B$10</f>
        <v>0</v>
      </c>
      <c r="AV97" s="1373">
        <f t="shared" ref="AV97:AV130" si="18">I97*$G$76*(1-AD97)*$B$10</f>
        <v>0</v>
      </c>
      <c r="AW97" s="1373">
        <f t="shared" ref="AW97:AW130" si="19">I97*$G$76*(1-AD97)*$B$10</f>
        <v>0</v>
      </c>
      <c r="AX97" s="1373">
        <f t="shared" ref="AX97:AX130" si="20">I97*$I$76*(1-AD97)*$AM$97</f>
        <v>2798.4495620620314</v>
      </c>
      <c r="AY97" s="1373">
        <f t="shared" ref="AY97:AY130" si="21">(I97*$J$76*$B$10-R97)*(1-AD97)</f>
        <v>404.59200209812275</v>
      </c>
      <c r="AZ97" s="1373">
        <f t="shared" ref="AZ97:AZ130" si="22">(I97*$K$76*$B$10-S97)*(1-AD97)</f>
        <v>588.07238655935896</v>
      </c>
      <c r="BA97" s="1373">
        <f t="shared" ref="BA97:BA130" si="23">(I97*$L$76*$B$10-T97)*(1-AD97)</f>
        <v>516.96231057860598</v>
      </c>
      <c r="BB97" s="1373">
        <f t="shared" ref="BB97:BB130" si="24">(I97*$M$76*$B$10-U97)*(1-AD97)</f>
        <v>111.50602928216298</v>
      </c>
      <c r="BC97" s="1467">
        <f>SUM(AR97:BB97)</f>
        <v>11144.031481960794</v>
      </c>
      <c r="BD97" s="1156">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8">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236">
        <f>'Input data'!D118</f>
        <v>50359792.847133137</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108.79675618524169</v>
      </c>
      <c r="BW98" s="114">
        <f t="shared" ref="BW98:BW130" si="59">((AK98-AM98*AK98)+(AC138-AC138*AE138))/(AK98+AC138)</f>
        <v>0.31239939440446801</v>
      </c>
      <c r="BX98" s="1689">
        <f t="shared" si="25"/>
        <v>50.359792847133136</v>
      </c>
      <c r="BY98" s="527">
        <f t="shared" ref="BY98:BY130" si="60">(AK98+AC178)*1000/10^6</f>
        <v>108.79675618524169</v>
      </c>
      <c r="BZ98" s="417">
        <f t="shared" ref="BZ98:BZ130" si="61">((AK98-AM98*AK98)+(AC178-AC178*AE178))/(AK98+AC178)</f>
        <v>0.31239939440446801</v>
      </c>
      <c r="CA98" s="544">
        <f t="shared" si="26"/>
        <v>50.359792847133136</v>
      </c>
      <c r="CB98" s="649">
        <f t="shared" si="27"/>
        <v>2.3097802675159818E-2</v>
      </c>
      <c r="CC98" s="525">
        <f t="shared" ref="CC98:CC130" si="62">W178</f>
        <v>3.7534536819961217E-2</v>
      </c>
      <c r="CD98" s="417">
        <f t="shared" si="28"/>
        <v>2.3097802675159818E-2</v>
      </c>
      <c r="CE98" s="525">
        <f t="shared" ref="CE98:CE130" si="63">W178</f>
        <v>3.7534536819961217E-2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4454.6933079776372</v>
      </c>
      <c r="D99" s="236">
        <f>'Input data'!D119</f>
        <v>53709279.804327965</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113.72124321998997</v>
      </c>
      <c r="BW99" s="114">
        <f t="shared" si="59"/>
        <v>0.3771653699625368</v>
      </c>
      <c r="BX99" s="1689">
        <f t="shared" si="25"/>
        <v>53.709279804327963</v>
      </c>
      <c r="BY99" s="527">
        <f t="shared" si="60"/>
        <v>113.72124321998997</v>
      </c>
      <c r="BZ99" s="417">
        <f t="shared" si="61"/>
        <v>0.3771653699625368</v>
      </c>
      <c r="CA99" s="544">
        <f t="shared" si="26"/>
        <v>53.709279804327963</v>
      </c>
      <c r="CB99" s="649">
        <f t="shared" si="27"/>
        <v>4.2261345922522509E-2</v>
      </c>
      <c r="CC99" s="525">
        <f t="shared" si="62"/>
        <v>0.16120779967237486</v>
      </c>
      <c r="CD99" s="417">
        <f t="shared" si="28"/>
        <v>4.2261345922522509E-2</v>
      </c>
      <c r="CE99" s="525">
        <f t="shared" si="63"/>
        <v>0.16120779967237486</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4168.5687090306074</v>
      </c>
      <c r="D100" s="236">
        <f>'Input data'!D120</f>
        <v>50685422.165534832</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107.76458718195072</v>
      </c>
      <c r="BW100" s="114">
        <f t="shared" si="59"/>
        <v>0.4018180652136023</v>
      </c>
      <c r="BX100" s="1689">
        <f t="shared" si="25"/>
        <v>50.685422165534831</v>
      </c>
      <c r="BY100" s="527">
        <f t="shared" si="60"/>
        <v>107.76458718195072</v>
      </c>
      <c r="BZ100" s="417">
        <f t="shared" si="61"/>
        <v>0.4018180652136023</v>
      </c>
      <c r="CA100" s="544">
        <f t="shared" si="26"/>
        <v>50.685422165534831</v>
      </c>
      <c r="CB100" s="649">
        <f t="shared" si="27"/>
        <v>6.3097402659273327E-2</v>
      </c>
      <c r="CC100" s="525">
        <f t="shared" si="62"/>
        <v>0.1650958360902629</v>
      </c>
      <c r="CD100" s="417">
        <f t="shared" si="28"/>
        <v>6.3097402659273327E-2</v>
      </c>
      <c r="CE100" s="525">
        <f t="shared" si="63"/>
        <v>0.1650958360902629</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1">
        <f>'Input data'!B121</f>
        <v>59.991580449204264</v>
      </c>
      <c r="C101" s="1550">
        <f>'Input data'!C121</f>
        <v>4297.0962474291</v>
      </c>
      <c r="D101" s="1550">
        <f>'Input data'!D121</f>
        <v>50618072.007836998</v>
      </c>
      <c r="E101" s="1454">
        <f t="shared" si="71"/>
        <v>0.80255384615384628</v>
      </c>
      <c r="F101" s="1504">
        <f t="shared" si="72"/>
        <v>0.31349230769230763</v>
      </c>
      <c r="G101" s="1511">
        <f>B101*F101*'Input data'!$C$9</f>
        <v>575.62445854598354</v>
      </c>
      <c r="H101" s="1542">
        <f>'Input data'!I121</f>
        <v>424.26313389388866</v>
      </c>
      <c r="I101" s="1509">
        <f>'Input data'!K121</f>
        <v>25452.215928626742</v>
      </c>
      <c r="J101" s="1509">
        <f>J97*0.65</f>
        <v>7243.6204632745166</v>
      </c>
      <c r="K101" s="1511">
        <f t="shared" si="73"/>
        <v>4584.4938240444126</v>
      </c>
      <c r="L101" s="1504">
        <f t="shared" si="74"/>
        <v>0.61692307692307702</v>
      </c>
      <c r="M101" s="1504">
        <f t="shared" si="29"/>
        <v>0.48715384615384622</v>
      </c>
      <c r="N101" s="1504">
        <f t="shared" si="75"/>
        <v>0.76984615384615374</v>
      </c>
      <c r="O101" s="1504">
        <f t="shared" si="76"/>
        <v>0.8307692307692307</v>
      </c>
      <c r="P101" s="1504">
        <f t="shared" si="30"/>
        <v>0.23600000000000002</v>
      </c>
      <c r="Q101" s="1508">
        <f t="shared" si="31"/>
        <v>83.854267924368514</v>
      </c>
      <c r="R101" s="1509">
        <f t="shared" si="32"/>
        <v>58.51611439285017</v>
      </c>
      <c r="S101" s="1509">
        <f t="shared" si="33"/>
        <v>171.35941615291358</v>
      </c>
      <c r="T101" s="1509">
        <f t="shared" si="34"/>
        <v>115.38270365905373</v>
      </c>
      <c r="U101" s="1511">
        <f t="shared" si="35"/>
        <v>0</v>
      </c>
      <c r="V101" s="1509">
        <f t="shared" si="9"/>
        <v>429.112502129186</v>
      </c>
      <c r="W101" s="1454">
        <v>0.4</v>
      </c>
      <c r="X101" s="530">
        <f t="shared" si="36"/>
        <v>2426.7883762416568</v>
      </c>
      <c r="Y101" s="528">
        <f t="shared" si="77"/>
        <v>2855.9008783708427</v>
      </c>
      <c r="Z101" s="528">
        <f t="shared" si="78"/>
        <v>8972.213408948086</v>
      </c>
      <c r="AA101" s="530">
        <f t="shared" si="79"/>
        <v>1728.5929456735694</v>
      </c>
      <c r="AB101" s="1091">
        <f t="shared" si="37"/>
        <v>0.19266070331648874</v>
      </c>
      <c r="AC101" s="135" t="str">
        <f t="shared" si="38"/>
        <v>Yes</v>
      </c>
      <c r="AD101" s="1091">
        <f t="shared" si="39"/>
        <v>0.19266070331648874</v>
      </c>
      <c r="AE101" s="649">
        <f t="shared" si="10"/>
        <v>9.726841017376453E-2</v>
      </c>
      <c r="AF101" s="530">
        <f t="shared" si="11"/>
        <v>382.99573336469109</v>
      </c>
      <c r="AG101" s="527">
        <f t="shared" si="40"/>
        <v>7243.6204632745166</v>
      </c>
      <c r="AH101" s="528">
        <f t="shared" si="80"/>
        <v>7405.9355442178767</v>
      </c>
      <c r="AI101" s="528">
        <f t="shared" si="81"/>
        <v>5830.9633715541659</v>
      </c>
      <c r="AJ101" s="528">
        <f t="shared" si="12"/>
        <v>2495.9999708032969</v>
      </c>
      <c r="AK101" s="528">
        <f t="shared" si="41"/>
        <v>22976.519349849852</v>
      </c>
      <c r="AL101" s="716">
        <f t="shared" si="13"/>
        <v>0</v>
      </c>
      <c r="AM101" s="417">
        <f t="shared" si="42"/>
        <v>0.31526187030246827</v>
      </c>
      <c r="AN101" s="417">
        <f t="shared" si="43"/>
        <v>0.32232625975466878</v>
      </c>
      <c r="AO101" s="417">
        <f t="shared" si="44"/>
        <v>0.25377922925442015</v>
      </c>
      <c r="AP101" s="417">
        <f t="shared" si="45"/>
        <v>0.108632640688443</v>
      </c>
      <c r="AQ101" s="417">
        <f t="shared" si="46"/>
        <v>1.0000000000000002</v>
      </c>
      <c r="AR101" s="1086">
        <f t="shared" si="14"/>
        <v>1428.1962066120468</v>
      </c>
      <c r="AS101" s="938">
        <f t="shared" si="15"/>
        <v>1811.3391693501608</v>
      </c>
      <c r="AT101" s="938">
        <f t="shared" si="16"/>
        <v>495.69314011643525</v>
      </c>
      <c r="AU101" s="938">
        <f t="shared" si="17"/>
        <v>0</v>
      </c>
      <c r="AV101" s="938">
        <f t="shared" si="18"/>
        <v>0</v>
      </c>
      <c r="AW101" s="938">
        <f t="shared" si="19"/>
        <v>0</v>
      </c>
      <c r="AX101" s="938">
        <f t="shared" si="20"/>
        <v>2397.9866316299795</v>
      </c>
      <c r="AY101" s="938">
        <f t="shared" si="21"/>
        <v>299.45183426330141</v>
      </c>
      <c r="AZ101" s="938">
        <f t="shared" si="22"/>
        <v>365.5730292421627</v>
      </c>
      <c r="BA101" s="938">
        <f t="shared" si="23"/>
        <v>349.83112675197412</v>
      </c>
      <c r="BB101" s="938">
        <f t="shared" si="24"/>
        <v>95.549325308454769</v>
      </c>
      <c r="BC101" s="530">
        <f t="shared" si="47"/>
        <v>7243.6204632745166</v>
      </c>
      <c r="BD101" s="724">
        <f t="shared" si="48"/>
        <v>0</v>
      </c>
      <c r="BE101" s="436">
        <f t="shared" si="49"/>
        <v>0.19716607376836848</v>
      </c>
      <c r="BF101" s="624">
        <f t="shared" si="50"/>
        <v>0.2500599221803147</v>
      </c>
      <c r="BG101" s="624">
        <f t="shared" si="51"/>
        <v>6.8431683110624295E-2</v>
      </c>
      <c r="BH101" s="624">
        <f t="shared" si="52"/>
        <v>0</v>
      </c>
      <c r="BI101" s="624">
        <f t="shared" si="53"/>
        <v>0</v>
      </c>
      <c r="BJ101" s="624">
        <f t="shared" si="54"/>
        <v>0</v>
      </c>
      <c r="BK101" s="624">
        <f t="shared" si="55"/>
        <v>0.48434232094069229</v>
      </c>
      <c r="BL101" s="624">
        <f t="shared" si="56"/>
        <v>0.99999999999999978</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98.4841732303519</v>
      </c>
      <c r="BW101" s="114">
        <f t="shared" si="59"/>
        <v>0.47474371574170848</v>
      </c>
      <c r="BX101" s="1689">
        <f t="shared" si="25"/>
        <v>50.618072007837</v>
      </c>
      <c r="BY101" s="527">
        <f t="shared" si="60"/>
        <v>98.4841732303519</v>
      </c>
      <c r="BZ101" s="417">
        <f t="shared" si="61"/>
        <v>0.47474371574170848</v>
      </c>
      <c r="CA101" s="544">
        <f t="shared" si="26"/>
        <v>50.618072007837</v>
      </c>
      <c r="CB101" s="649">
        <f t="shared" si="27"/>
        <v>9.726841017376453E-2</v>
      </c>
      <c r="CC101" s="525">
        <f t="shared" si="62"/>
        <v>0.26201975525146737</v>
      </c>
      <c r="CD101" s="417">
        <f t="shared" si="28"/>
        <v>9.726841017376453E-2</v>
      </c>
      <c r="CE101" s="525">
        <f t="shared" si="63"/>
        <v>0.26201975525146737</v>
      </c>
      <c r="CG101" s="527">
        <f t="shared" si="64"/>
        <v>1401.0650599029839</v>
      </c>
      <c r="CH101" s="528">
        <f t="shared" si="65"/>
        <v>568.37814792932511</v>
      </c>
      <c r="CI101" s="528">
        <f t="shared" si="66"/>
        <v>2280.5386128435684</v>
      </c>
      <c r="CJ101" s="528">
        <f t="shared" si="67"/>
        <v>3115.3329987944608</v>
      </c>
      <c r="CK101" s="528">
        <f t="shared" si="68"/>
        <v>40.620724747537743</v>
      </c>
      <c r="CL101" s="528">
        <f t="shared" si="69"/>
        <v>7405.9355442178758</v>
      </c>
      <c r="CM101" s="646">
        <f t="shared" si="70"/>
        <v>0</v>
      </c>
    </row>
    <row r="102" spans="1:91" s="464" customFormat="1">
      <c r="A102" s="150">
        <f>'Input data'!A122</f>
        <v>2022</v>
      </c>
      <c r="B102" s="1506">
        <f>'Input data'!B122</f>
        <v>60.682333816399378</v>
      </c>
      <c r="C102" s="1507">
        <f>'Input data'!C122</f>
        <v>4398.6096135141943</v>
      </c>
      <c r="D102" s="1507">
        <f>'Input data'!D122</f>
        <v>50359792.847133137</v>
      </c>
      <c r="E102" s="1455">
        <f t="shared" si="71"/>
        <v>0.82449230769230786</v>
      </c>
      <c r="F102" s="1449">
        <f t="shared" si="72"/>
        <v>0.31946538461538454</v>
      </c>
      <c r="G102" s="1554">
        <f>B102*F102*'Input data'!$C$9</f>
        <v>593.34615107097636</v>
      </c>
      <c r="H102" s="1549">
        <f>'Input data'!I122</f>
        <v>424.26313389388866</v>
      </c>
      <c r="I102" s="1557">
        <f>'Input data'!K122</f>
        <v>25745.277116940699</v>
      </c>
      <c r="J102" s="1557">
        <f>J97*(1-$G$4)</f>
        <v>5572.0157409803969</v>
      </c>
      <c r="K102" s="1511">
        <f t="shared" si="73"/>
        <v>6392.2894869731472</v>
      </c>
      <c r="L102" s="1504">
        <f t="shared" si="74"/>
        <v>0.62615384615384628</v>
      </c>
      <c r="M102" s="1504">
        <f t="shared" si="29"/>
        <v>0.49969230769230777</v>
      </c>
      <c r="N102" s="1504">
        <f t="shared" si="75"/>
        <v>0.78430769230769215</v>
      </c>
      <c r="O102" s="1504">
        <f t="shared" si="76"/>
        <v>0.83846153846153837</v>
      </c>
      <c r="P102" s="1449">
        <f t="shared" si="30"/>
        <v>0.23600000000000002</v>
      </c>
      <c r="Q102" s="1508">
        <f t="shared" si="31"/>
        <v>106.02472547011826</v>
      </c>
      <c r="R102" s="1509">
        <f t="shared" si="32"/>
        <v>73.987348737881234</v>
      </c>
      <c r="S102" s="1509">
        <f t="shared" si="33"/>
        <v>216.66559739951708</v>
      </c>
      <c r="T102" s="1509">
        <f t="shared" si="34"/>
        <v>145.88904992271819</v>
      </c>
      <c r="U102" s="1511">
        <f t="shared" si="35"/>
        <v>0</v>
      </c>
      <c r="V102" s="1509">
        <f t="shared" si="9"/>
        <v>542.56672153023476</v>
      </c>
      <c r="W102" s="1454">
        <f>$E$26</f>
        <v>0.5</v>
      </c>
      <c r="X102" s="530">
        <f t="shared" si="36"/>
        <v>3033.4854703020706</v>
      </c>
      <c r="Y102" s="528">
        <f t="shared" si="77"/>
        <v>3576.0521918323052</v>
      </c>
      <c r="Z102" s="528">
        <f t="shared" si="78"/>
        <v>8388.2530361212393</v>
      </c>
      <c r="AA102" s="530">
        <f t="shared" si="79"/>
        <v>2816.2372951408424</v>
      </c>
      <c r="AB102" s="1091">
        <f t="shared" si="37"/>
        <v>0.33573585382005611</v>
      </c>
      <c r="AC102" s="135" t="str">
        <f t="shared" si="38"/>
        <v>Yes</v>
      </c>
      <c r="AD102" s="1091">
        <f t="shared" si="39"/>
        <v>0.33573585382005611</v>
      </c>
      <c r="AE102" s="649">
        <f t="shared" si="10"/>
        <v>0.15764324460297707</v>
      </c>
      <c r="AF102" s="530">
        <f t="shared" si="11"/>
        <v>357.3809169014288</v>
      </c>
      <c r="AG102" s="527">
        <f t="shared" si="40"/>
        <v>5572.0157409803969</v>
      </c>
      <c r="AH102" s="528">
        <f t="shared" si="80"/>
        <v>7599.7221031332638</v>
      </c>
      <c r="AI102" s="528">
        <f t="shared" si="81"/>
        <v>6437.6604656145792</v>
      </c>
      <c r="AJ102" s="528">
        <f t="shared" si="12"/>
        <v>2077.3097892951496</v>
      </c>
      <c r="AK102" s="528">
        <f t="shared" si="41"/>
        <v>21686.708099023388</v>
      </c>
      <c r="AL102" s="716">
        <f t="shared" si="13"/>
        <v>0</v>
      </c>
      <c r="AM102" s="417">
        <f t="shared" si="42"/>
        <v>0.25693229767920933</v>
      </c>
      <c r="AN102" s="417">
        <f t="shared" si="43"/>
        <v>0.35043225871037109</v>
      </c>
      <c r="AO102" s="417">
        <f t="shared" si="44"/>
        <v>0.29684820933724304</v>
      </c>
      <c r="AP102" s="417">
        <f t="shared" si="45"/>
        <v>9.5787234273176591E-2</v>
      </c>
      <c r="AQ102" s="417">
        <f t="shared" si="46"/>
        <v>1</v>
      </c>
      <c r="AR102" s="1086">
        <f t="shared" si="14"/>
        <v>1019.135616310381</v>
      </c>
      <c r="AS102" s="938">
        <f t="shared" si="15"/>
        <v>1292.5396749805643</v>
      </c>
      <c r="AT102" s="938">
        <f t="shared" si="16"/>
        <v>398.45767442509401</v>
      </c>
      <c r="AU102" s="938">
        <f t="shared" si="17"/>
        <v>0</v>
      </c>
      <c r="AV102" s="938">
        <f t="shared" si="18"/>
        <v>0</v>
      </c>
      <c r="AW102" s="938">
        <f t="shared" si="19"/>
        <v>0</v>
      </c>
      <c r="AX102" s="938">
        <f t="shared" si="20"/>
        <v>1995.737645333661</v>
      </c>
      <c r="AY102" s="938">
        <f t="shared" si="21"/>
        <v>239.39101771219828</v>
      </c>
      <c r="AZ102" s="938">
        <f t="shared" si="22"/>
        <v>275.46553916225946</v>
      </c>
      <c r="BA102" s="938">
        <f t="shared" si="23"/>
        <v>271.76711827035427</v>
      </c>
      <c r="BB102" s="938">
        <f t="shared" si="24"/>
        <v>79.521454785883094</v>
      </c>
      <c r="BC102" s="530">
        <f t="shared" si="47"/>
        <v>5572.0157409803951</v>
      </c>
      <c r="BD102" s="724">
        <f t="shared" si="48"/>
        <v>0</v>
      </c>
      <c r="BE102" s="436">
        <f t="shared" si="49"/>
        <v>0.18290250130037577</v>
      </c>
      <c r="BF102" s="624">
        <f t="shared" si="50"/>
        <v>0.23196985347229873</v>
      </c>
      <c r="BG102" s="624">
        <f t="shared" si="51"/>
        <v>7.1510507677601337E-2</v>
      </c>
      <c r="BH102" s="624">
        <f t="shared" si="52"/>
        <v>0</v>
      </c>
      <c r="BI102" s="624">
        <f t="shared" si="53"/>
        <v>0</v>
      </c>
      <c r="BJ102" s="624">
        <f t="shared" si="54"/>
        <v>0</v>
      </c>
      <c r="BK102" s="624">
        <f t="shared" si="55"/>
        <v>0.51361713754972427</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95.352491023753245</v>
      </c>
      <c r="BW102" s="114">
        <f t="shared" si="59"/>
        <v>0.51467713390821135</v>
      </c>
      <c r="BX102" s="1689">
        <f t="shared" si="25"/>
        <v>50.359792847133136</v>
      </c>
      <c r="BY102" s="527">
        <f t="shared" si="60"/>
        <v>95.352491023753245</v>
      </c>
      <c r="BZ102" s="417">
        <f t="shared" si="61"/>
        <v>0.51467713390821135</v>
      </c>
      <c r="CA102" s="544">
        <f t="shared" si="26"/>
        <v>50.359792847133136</v>
      </c>
      <c r="CB102" s="649">
        <f t="shared" si="27"/>
        <v>0.15764324460297707</v>
      </c>
      <c r="CC102" s="525">
        <f t="shared" si="62"/>
        <v>0.28673488287563798</v>
      </c>
      <c r="CD102" s="417">
        <f t="shared" si="28"/>
        <v>0.15764324460297707</v>
      </c>
      <c r="CE102" s="525">
        <f t="shared" si="63"/>
        <v>0.28673488287563798</v>
      </c>
      <c r="CF102" s="1"/>
      <c r="CG102" s="527">
        <f t="shared" si="64"/>
        <v>1438.4021088779325</v>
      </c>
      <c r="CH102" s="528">
        <f t="shared" si="65"/>
        <v>589.72002135125922</v>
      </c>
      <c r="CI102" s="528">
        <f t="shared" si="66"/>
        <v>2350.1302458356136</v>
      </c>
      <c r="CJ102" s="528">
        <f t="shared" si="67"/>
        <v>3180.3812883152686</v>
      </c>
      <c r="CK102" s="528">
        <f t="shared" si="68"/>
        <v>41.088438753189351</v>
      </c>
      <c r="CL102" s="528">
        <f t="shared" si="69"/>
        <v>7599.7221031332638</v>
      </c>
      <c r="CM102" s="646">
        <f t="shared" si="70"/>
        <v>0</v>
      </c>
    </row>
    <row r="103" spans="1:91" s="4" customFormat="1">
      <c r="A103" s="150">
        <f>'Input data'!A123</f>
        <v>2023</v>
      </c>
      <c r="B103" s="1506">
        <f>'Input data'!B123</f>
        <v>61.381040636574369</v>
      </c>
      <c r="C103" s="1507">
        <f>'Input data'!C123</f>
        <v>4491.3837914672167</v>
      </c>
      <c r="D103" s="1507">
        <f>'Input data'!D123</f>
        <v>49695564.714711666</v>
      </c>
      <c r="E103" s="1455">
        <f t="shared" si="71"/>
        <v>0.84643076923076943</v>
      </c>
      <c r="F103" s="1449">
        <f t="shared" si="72"/>
        <v>0.32543846153846145</v>
      </c>
      <c r="G103" s="1554">
        <f>B103*F103*'Input data'!$C$9</f>
        <v>611.39963074599768</v>
      </c>
      <c r="H103" s="1549">
        <f>'Input data'!I123</f>
        <v>424.26313389388866</v>
      </c>
      <c r="I103" s="1557">
        <f>'Input data'!K123</f>
        <v>26041.712662141173</v>
      </c>
      <c r="J103" s="1557">
        <f>($J$107-$J$102)/($A$107-$A$102)+J102</f>
        <v>5237.6947965215732</v>
      </c>
      <c r="K103" s="1511">
        <f t="shared" si="73"/>
        <v>6864.3694979622578</v>
      </c>
      <c r="L103" s="1504">
        <f t="shared" si="74"/>
        <v>0.63538461538461555</v>
      </c>
      <c r="M103" s="1504">
        <f t="shared" si="29"/>
        <v>0.51223076923076927</v>
      </c>
      <c r="N103" s="1504">
        <f t="shared" si="75"/>
        <v>0.79876923076923056</v>
      </c>
      <c r="O103" s="1504">
        <f t="shared" si="76"/>
        <v>0.84615384615384603</v>
      </c>
      <c r="P103" s="1449">
        <f t="shared" si="30"/>
        <v>0.23600000000000002</v>
      </c>
      <c r="Q103" s="1508">
        <f t="shared" si="31"/>
        <v>128.6946148561783</v>
      </c>
      <c r="R103" s="1509">
        <f t="shared" si="32"/>
        <v>89.807102143687757</v>
      </c>
      <c r="S103" s="1509">
        <f t="shared" si="33"/>
        <v>262.99238678786514</v>
      </c>
      <c r="T103" s="1509">
        <f t="shared" si="34"/>
        <v>177.08260981849526</v>
      </c>
      <c r="U103" s="1511">
        <f t="shared" si="35"/>
        <v>0</v>
      </c>
      <c r="V103" s="1509">
        <f t="shared" si="9"/>
        <v>658.57671360622646</v>
      </c>
      <c r="W103" s="1454">
        <f>($N$147-$N$142)/($A$107-$A$102)+W102</f>
        <v>0.5</v>
      </c>
      <c r="X103" s="530">
        <f t="shared" si="36"/>
        <v>3033.4854703020706</v>
      </c>
      <c r="Y103" s="528">
        <f t="shared" si="77"/>
        <v>3692.0621839082969</v>
      </c>
      <c r="Z103" s="528">
        <f t="shared" si="78"/>
        <v>8410.0021105755332</v>
      </c>
      <c r="AA103" s="530">
        <f t="shared" si="79"/>
        <v>3172.30731405396</v>
      </c>
      <c r="AB103" s="1091">
        <f t="shared" si="37"/>
        <v>0.37720648251262628</v>
      </c>
      <c r="AC103" s="135" t="str">
        <f t="shared" si="38"/>
        <v>Yes</v>
      </c>
      <c r="AD103" s="1091">
        <f t="shared" si="39"/>
        <v>0.37720648251262628</v>
      </c>
      <c r="AE103" s="649">
        <f t="shared" si="10"/>
        <v>0.17661362793734681</v>
      </c>
      <c r="AF103" s="530">
        <f t="shared" si="11"/>
        <v>349.33248261682064</v>
      </c>
      <c r="AG103" s="527">
        <f t="shared" si="40"/>
        <v>5237.6947965215732</v>
      </c>
      <c r="AH103" s="528">
        <f t="shared" si="80"/>
        <v>7796.9893950863434</v>
      </c>
      <c r="AI103" s="528">
        <f t="shared" si="81"/>
        <v>6437.6604656145792</v>
      </c>
      <c r="AJ103" s="528">
        <f t="shared" si="12"/>
        <v>1970.0466539559834</v>
      </c>
      <c r="AK103" s="528">
        <f t="shared" si="41"/>
        <v>21442.391311178479</v>
      </c>
      <c r="AL103" s="716">
        <f t="shared" si="13"/>
        <v>0</v>
      </c>
      <c r="AM103" s="417">
        <f t="shared" si="42"/>
        <v>0.24426822179068367</v>
      </c>
      <c r="AN103" s="417">
        <f t="shared" si="43"/>
        <v>0.36362499321713104</v>
      </c>
      <c r="AO103" s="417">
        <f t="shared" si="44"/>
        <v>0.30023052803156608</v>
      </c>
      <c r="AP103" s="417">
        <f t="shared" si="45"/>
        <v>9.1876256960619254E-2</v>
      </c>
      <c r="AQ103" s="417">
        <f t="shared" si="46"/>
        <v>1</v>
      </c>
      <c r="AR103" s="1086">
        <f t="shared" si="14"/>
        <v>976.10205422369711</v>
      </c>
      <c r="AS103" s="938">
        <f t="shared" si="15"/>
        <v>1237.9614761004675</v>
      </c>
      <c r="AT103" s="938">
        <f t="shared" si="16"/>
        <v>364.52471174043808</v>
      </c>
      <c r="AU103" s="938">
        <f t="shared" si="17"/>
        <v>0</v>
      </c>
      <c r="AV103" s="938">
        <f t="shared" si="18"/>
        <v>0</v>
      </c>
      <c r="AW103" s="938">
        <f t="shared" si="19"/>
        <v>0</v>
      </c>
      <c r="AX103" s="938">
        <f t="shared" si="20"/>
        <v>1892.6865365120302</v>
      </c>
      <c r="AY103" s="938">
        <f t="shared" si="21"/>
        <v>217.70803893721899</v>
      </c>
      <c r="AZ103" s="938">
        <f t="shared" si="22"/>
        <v>233.94338542908716</v>
      </c>
      <c r="BA103" s="938">
        <f t="shared" si="23"/>
        <v>239.35327674628138</v>
      </c>
      <c r="BB103" s="938">
        <f t="shared" si="24"/>
        <v>75.415316832352445</v>
      </c>
      <c r="BC103" s="530">
        <f t="shared" si="47"/>
        <v>5237.6947965215732</v>
      </c>
      <c r="BD103" s="724">
        <f t="shared" si="48"/>
        <v>0</v>
      </c>
      <c r="BE103" s="436">
        <f t="shared" si="49"/>
        <v>0.18636100272049838</v>
      </c>
      <c r="BF103" s="624">
        <f t="shared" si="50"/>
        <v>0.23635616892427852</v>
      </c>
      <c r="BG103" s="624">
        <f t="shared" si="51"/>
        <v>6.9596401833593682E-2</v>
      </c>
      <c r="BH103" s="624">
        <f t="shared" si="52"/>
        <v>0</v>
      </c>
      <c r="BI103" s="624">
        <f t="shared" si="53"/>
        <v>0</v>
      </c>
      <c r="BJ103" s="624">
        <f t="shared" si="54"/>
        <v>0</v>
      </c>
      <c r="BK103" s="624">
        <f t="shared" si="55"/>
        <v>0.50768642652162943</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94.919649967461893</v>
      </c>
      <c r="BW103" s="114">
        <f t="shared" si="59"/>
        <v>0.53527295402560937</v>
      </c>
      <c r="BX103" s="1689">
        <f t="shared" si="25"/>
        <v>49.695564714711665</v>
      </c>
      <c r="BY103" s="527">
        <f t="shared" si="60"/>
        <v>94.919649967461893</v>
      </c>
      <c r="BZ103" s="417">
        <f t="shared" si="61"/>
        <v>0.53527295402560937</v>
      </c>
      <c r="CA103" s="544">
        <f t="shared" si="26"/>
        <v>49.695564714711665</v>
      </c>
      <c r="CB103" s="649">
        <f t="shared" si="27"/>
        <v>0.17661362793734681</v>
      </c>
      <c r="CC103" s="525">
        <f t="shared" si="62"/>
        <v>0.2916598899170304</v>
      </c>
      <c r="CD103" s="417">
        <f t="shared" si="28"/>
        <v>0.17661362793734681</v>
      </c>
      <c r="CE103" s="525">
        <f t="shared" si="63"/>
        <v>0.2916598899170304</v>
      </c>
      <c r="CF103"/>
      <c r="CG103" s="527">
        <f t="shared" si="64"/>
        <v>1476.4132204333737</v>
      </c>
      <c r="CH103" s="528">
        <f t="shared" si="65"/>
        <v>611.47800938120383</v>
      </c>
      <c r="CI103" s="528">
        <f t="shared" si="66"/>
        <v>2421.0221138343977</v>
      </c>
      <c r="CJ103" s="528">
        <f t="shared" si="67"/>
        <v>3246.5145133390856</v>
      </c>
      <c r="CK103" s="528">
        <f t="shared" si="68"/>
        <v>41.561538098281396</v>
      </c>
      <c r="CL103" s="528">
        <f t="shared" si="69"/>
        <v>7796.9893950863425</v>
      </c>
      <c r="CM103" s="646">
        <f t="shared" si="70"/>
        <v>0</v>
      </c>
    </row>
    <row r="104" spans="1:91" s="4" customFormat="1">
      <c r="A104" s="150">
        <f>'Input data'!A124</f>
        <v>2024</v>
      </c>
      <c r="B104" s="1506">
        <f>'Input data'!B124</f>
        <v>62.087792487153699</v>
      </c>
      <c r="C104" s="1507">
        <f>'Input data'!C124</f>
        <v>4591.0468432418256</v>
      </c>
      <c r="D104" s="1507">
        <f>'Input data'!D124</f>
        <v>49925010.483280979</v>
      </c>
      <c r="E104" s="1455">
        <f t="shared" si="71"/>
        <v>0.868369230769231</v>
      </c>
      <c r="F104" s="1449">
        <f t="shared" si="72"/>
        <v>0.33141153846153837</v>
      </c>
      <c r="G104" s="1554">
        <f>B104*F104*'Input data'!$C$9</f>
        <v>629.79018860574899</v>
      </c>
      <c r="H104" s="1549">
        <f>'Input data'!I124</f>
        <v>424.26313389388866</v>
      </c>
      <c r="I104" s="1557">
        <f>'Input data'!K124</f>
        <v>26341.561417153265</v>
      </c>
      <c r="J104" s="1557">
        <f t="shared" ref="J104:J106" si="84">($J$107-$J$102)/($A$107-$A$102)+J103</f>
        <v>4903.3738520627494</v>
      </c>
      <c r="K104" s="1511">
        <f t="shared" si="73"/>
        <v>7338.035690518097</v>
      </c>
      <c r="L104" s="1504">
        <f t="shared" si="74"/>
        <v>0.64461538461538481</v>
      </c>
      <c r="M104" s="1504">
        <f t="shared" si="29"/>
        <v>0.52476923076923077</v>
      </c>
      <c r="N104" s="1504">
        <f t="shared" si="75"/>
        <v>0.81323076923076898</v>
      </c>
      <c r="O104" s="1504">
        <f t="shared" si="76"/>
        <v>0.8538461538461537</v>
      </c>
      <c r="P104" s="1449">
        <f t="shared" si="30"/>
        <v>0.23600000000000002</v>
      </c>
      <c r="Q104" s="1508">
        <f t="shared" si="31"/>
        <v>151.87249789664475</v>
      </c>
      <c r="R104" s="1509">
        <f t="shared" si="32"/>
        <v>105.98134931025186</v>
      </c>
      <c r="S104" s="1509">
        <f t="shared" si="33"/>
        <v>310.35728071380254</v>
      </c>
      <c r="T104" s="1509">
        <f t="shared" si="34"/>
        <v>208.97516432406155</v>
      </c>
      <c r="U104" s="1511">
        <f t="shared" si="35"/>
        <v>0</v>
      </c>
      <c r="V104" s="1509">
        <f t="shared" si="9"/>
        <v>777.18629224476069</v>
      </c>
      <c r="W104" s="1454">
        <f>($N$147-$N$142)/($A$107-$A$102)+W103</f>
        <v>0.5</v>
      </c>
      <c r="X104" s="530">
        <f t="shared" si="36"/>
        <v>3033.4854703020706</v>
      </c>
      <c r="Y104" s="528">
        <f t="shared" si="77"/>
        <v>3810.6717625468314</v>
      </c>
      <c r="Z104" s="528">
        <f t="shared" si="78"/>
        <v>8430.7377800340146</v>
      </c>
      <c r="AA104" s="530">
        <f t="shared" si="79"/>
        <v>3527.3639279712652</v>
      </c>
      <c r="AB104" s="1091">
        <f t="shared" si="37"/>
        <v>0.41839326758862067</v>
      </c>
      <c r="AC104" s="135" t="str">
        <f t="shared" si="38"/>
        <v>Yes</v>
      </c>
      <c r="AD104" s="1091">
        <f t="shared" si="39"/>
        <v>0.41839326758862067</v>
      </c>
      <c r="AE104" s="649">
        <f t="shared" si="10"/>
        <v>0.19519681863773264</v>
      </c>
      <c r="AF104" s="530">
        <f t="shared" si="11"/>
        <v>341.44831989252719</v>
      </c>
      <c r="AG104" s="527">
        <f t="shared" si="40"/>
        <v>4903.3738520627494</v>
      </c>
      <c r="AH104" s="528">
        <f t="shared" si="80"/>
        <v>7997.7918841172905</v>
      </c>
      <c r="AI104" s="528">
        <f t="shared" si="81"/>
        <v>6437.6604656145792</v>
      </c>
      <c r="AJ104" s="528">
        <f t="shared" si="12"/>
        <v>1860.9462287798847</v>
      </c>
      <c r="AK104" s="528">
        <f t="shared" si="41"/>
        <v>21199.772430574503</v>
      </c>
      <c r="AL104" s="716">
        <f t="shared" si="13"/>
        <v>0</v>
      </c>
      <c r="AM104" s="417">
        <f t="shared" si="42"/>
        <v>0.23129370223762682</v>
      </c>
      <c r="AN104" s="417">
        <f t="shared" si="43"/>
        <v>0.37725838380146021</v>
      </c>
      <c r="AO104" s="417">
        <f t="shared" si="44"/>
        <v>0.3036664891897673</v>
      </c>
      <c r="AP104" s="417">
        <f t="shared" si="45"/>
        <v>8.7781424771145714E-2</v>
      </c>
      <c r="AQ104" s="417">
        <f t="shared" si="46"/>
        <v>1</v>
      </c>
      <c r="AR104" s="1086">
        <f t="shared" si="14"/>
        <v>931.00179754693477</v>
      </c>
      <c r="AS104" s="938">
        <f t="shared" si="15"/>
        <v>1180.7621493635941</v>
      </c>
      <c r="AT104" s="938">
        <f t="shared" si="16"/>
        <v>331.71889252091779</v>
      </c>
      <c r="AU104" s="938">
        <f t="shared" si="17"/>
        <v>0</v>
      </c>
      <c r="AV104" s="938">
        <f t="shared" si="18"/>
        <v>0</v>
      </c>
      <c r="AW104" s="938">
        <f t="shared" si="19"/>
        <v>0</v>
      </c>
      <c r="AX104" s="938">
        <f t="shared" si="20"/>
        <v>1787.8702848542894</v>
      </c>
      <c r="AY104" s="938">
        <f t="shared" si="21"/>
        <v>196.84581352580756</v>
      </c>
      <c r="AZ104" s="938">
        <f t="shared" si="22"/>
        <v>195.20113597325712</v>
      </c>
      <c r="BA104" s="938">
        <f t="shared" si="23"/>
        <v>208.73493265488335</v>
      </c>
      <c r="BB104" s="938">
        <f t="shared" si="24"/>
        <v>71.238845623065188</v>
      </c>
      <c r="BC104" s="530">
        <f t="shared" si="47"/>
        <v>4903.3738520627503</v>
      </c>
      <c r="BD104" s="724">
        <f t="shared" si="48"/>
        <v>0</v>
      </c>
      <c r="BE104" s="436">
        <f t="shared" si="49"/>
        <v>0.18986963377374971</v>
      </c>
      <c r="BF104" s="624">
        <f t="shared" si="50"/>
        <v>0.24080606231296667</v>
      </c>
      <c r="BG104" s="624">
        <f t="shared" si="51"/>
        <v>6.76511525592466E-2</v>
      </c>
      <c r="BH104" s="624">
        <f t="shared" si="52"/>
        <v>0</v>
      </c>
      <c r="BI104" s="624">
        <f t="shared" si="53"/>
        <v>0</v>
      </c>
      <c r="BJ104" s="624">
        <f t="shared" si="54"/>
        <v>0</v>
      </c>
      <c r="BK104" s="624">
        <f t="shared" si="55"/>
        <v>0.50167315135403667</v>
      </c>
      <c r="BL104" s="624">
        <f t="shared" si="56"/>
        <v>0.99999999999999967</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95.417503736729643</v>
      </c>
      <c r="BW104" s="114">
        <f t="shared" si="59"/>
        <v>0.55294258122958317</v>
      </c>
      <c r="BX104" s="1689">
        <f t="shared" si="25"/>
        <v>49.925010483280978</v>
      </c>
      <c r="BY104" s="527">
        <f t="shared" si="60"/>
        <v>95.417503736729643</v>
      </c>
      <c r="BZ104" s="417">
        <f t="shared" si="61"/>
        <v>0.55294258122958317</v>
      </c>
      <c r="CA104" s="544">
        <f t="shared" si="26"/>
        <v>49.925010483280978</v>
      </c>
      <c r="CB104" s="649">
        <f t="shared" si="27"/>
        <v>0.19519681863773264</v>
      </c>
      <c r="CC104" s="525">
        <f t="shared" si="62"/>
        <v>0.29424060922671458</v>
      </c>
      <c r="CD104" s="417">
        <f t="shared" si="28"/>
        <v>0.19519681863773264</v>
      </c>
      <c r="CE104" s="525">
        <f t="shared" si="63"/>
        <v>0.29424060922671458</v>
      </c>
      <c r="CF104"/>
      <c r="CG104" s="527">
        <f t="shared" si="64"/>
        <v>1515.1089671117584</v>
      </c>
      <c r="CH104" s="528">
        <f t="shared" si="65"/>
        <v>633.65886502588842</v>
      </c>
      <c r="CI104" s="528">
        <f t="shared" si="66"/>
        <v>2493.2349329075432</v>
      </c>
      <c r="CJ104" s="528">
        <f t="shared" si="67"/>
        <v>3313.7490342815627</v>
      </c>
      <c r="CK104" s="528">
        <f t="shared" si="68"/>
        <v>42.040084790537726</v>
      </c>
      <c r="CL104" s="528">
        <f t="shared" si="69"/>
        <v>7997.7918841172905</v>
      </c>
      <c r="CM104" s="646">
        <f t="shared" si="70"/>
        <v>0</v>
      </c>
    </row>
    <row r="105" spans="1:91" s="4" customFormat="1">
      <c r="A105" s="150">
        <f>'Input data'!A125</f>
        <v>2025</v>
      </c>
      <c r="B105" s="1506">
        <f>'Input data'!B125</f>
        <v>62.802682000000026</v>
      </c>
      <c r="C105" s="1507">
        <f>'Input data'!C125</f>
        <v>4678.7390647078637</v>
      </c>
      <c r="D105" s="1507">
        <f>'Input data'!D125</f>
        <v>50358140.956147172</v>
      </c>
      <c r="E105" s="1455">
        <f t="shared" si="71"/>
        <v>0.89030769230769258</v>
      </c>
      <c r="F105" s="1449">
        <f t="shared" si="72"/>
        <v>0.33738461538461528</v>
      </c>
      <c r="G105" s="1554">
        <f>B105*F105*'Input data'!$C$9</f>
        <v>648.52319354163239</v>
      </c>
      <c r="H105" s="1549">
        <f>'Input data'!I125</f>
        <v>424.26313389388866</v>
      </c>
      <c r="I105" s="1557">
        <f>'Input data'!K125</f>
        <v>26644.862682261322</v>
      </c>
      <c r="J105" s="1557">
        <f t="shared" si="84"/>
        <v>4569.0529076039256</v>
      </c>
      <c r="K105" s="1511">
        <f t="shared" si="73"/>
        <v>7813.3063282078183</v>
      </c>
      <c r="L105" s="1504">
        <f t="shared" si="74"/>
        <v>0.65384615384615408</v>
      </c>
      <c r="M105" s="1504">
        <f t="shared" si="29"/>
        <v>0.53730769230769226</v>
      </c>
      <c r="N105" s="1504">
        <f t="shared" si="75"/>
        <v>0.82769230769230739</v>
      </c>
      <c r="O105" s="1504">
        <f t="shared" si="76"/>
        <v>0.86153846153846136</v>
      </c>
      <c r="P105" s="1449">
        <f t="shared" si="30"/>
        <v>0.23600000000000002</v>
      </c>
      <c r="Q105" s="1508">
        <f t="shared" si="31"/>
        <v>175.56706735725811</v>
      </c>
      <c r="R105" s="1509">
        <f t="shared" si="32"/>
        <v>122.51615631968355</v>
      </c>
      <c r="S105" s="1509">
        <f t="shared" si="33"/>
        <v>358.77804317788559</v>
      </c>
      <c r="T105" s="1509">
        <f t="shared" si="34"/>
        <v>241.57867460535908</v>
      </c>
      <c r="U105" s="1511">
        <f t="shared" si="35"/>
        <v>0</v>
      </c>
      <c r="V105" s="1509">
        <f t="shared" si="9"/>
        <v>898.43994146018633</v>
      </c>
      <c r="W105" s="1454">
        <f>($N$147-$N$142)/($A$107-$A$102)+W104</f>
        <v>0.5</v>
      </c>
      <c r="X105" s="530">
        <f t="shared" si="36"/>
        <v>3033.4854703020706</v>
      </c>
      <c r="Y105" s="528">
        <f t="shared" si="77"/>
        <v>3931.9254117622568</v>
      </c>
      <c r="Z105" s="528">
        <f t="shared" si="78"/>
        <v>8450.4338240494872</v>
      </c>
      <c r="AA105" s="530">
        <f t="shared" si="79"/>
        <v>3881.3809164455615</v>
      </c>
      <c r="AB105" s="1091">
        <f t="shared" si="37"/>
        <v>0.459311438591396</v>
      </c>
      <c r="AC105" s="135" t="str">
        <f t="shared" si="38"/>
        <v>Yes</v>
      </c>
      <c r="AD105" s="1091">
        <f t="shared" si="39"/>
        <v>0.459311438591396</v>
      </c>
      <c r="AE105" s="649">
        <f t="shared" si="10"/>
        <v>0.21340034507035144</v>
      </c>
      <c r="AF105" s="530">
        <f t="shared" si="11"/>
        <v>333.72523472030412</v>
      </c>
      <c r="AG105" s="527">
        <f t="shared" si="40"/>
        <v>4569.0529076039256</v>
      </c>
      <c r="AH105" s="528">
        <f t="shared" si="80"/>
        <v>8202.1848270207192</v>
      </c>
      <c r="AI105" s="528">
        <f t="shared" si="81"/>
        <v>6437.6604656145792</v>
      </c>
      <c r="AJ105" s="528">
        <f t="shared" si="12"/>
        <v>1749.9415912754064</v>
      </c>
      <c r="AK105" s="528">
        <f t="shared" si="41"/>
        <v>20958.839791514627</v>
      </c>
      <c r="AL105" s="716">
        <f t="shared" si="13"/>
        <v>0</v>
      </c>
      <c r="AM105" s="417">
        <f t="shared" si="42"/>
        <v>0.21800123256124831</v>
      </c>
      <c r="AN105" s="417">
        <f t="shared" si="43"/>
        <v>0.39134727440120265</v>
      </c>
      <c r="AO105" s="417">
        <f t="shared" si="44"/>
        <v>0.30715729160833238</v>
      </c>
      <c r="AP105" s="417">
        <f t="shared" si="45"/>
        <v>8.3494201429216791E-2</v>
      </c>
      <c r="AQ105" s="417">
        <f t="shared" si="46"/>
        <v>1</v>
      </c>
      <c r="AR105" s="1086">
        <f t="shared" si="14"/>
        <v>883.793761908639</v>
      </c>
      <c r="AS105" s="938">
        <f t="shared" si="15"/>
        <v>1120.8895886721123</v>
      </c>
      <c r="AT105" s="938">
        <f t="shared" si="16"/>
        <v>300.06611594807072</v>
      </c>
      <c r="AU105" s="938">
        <f t="shared" si="17"/>
        <v>0</v>
      </c>
      <c r="AV105" s="938">
        <f t="shared" si="18"/>
        <v>0</v>
      </c>
      <c r="AW105" s="938">
        <f t="shared" si="19"/>
        <v>0</v>
      </c>
      <c r="AX105" s="938">
        <f t="shared" si="20"/>
        <v>1681.2245957924411</v>
      </c>
      <c r="AY105" s="938">
        <f t="shared" si="21"/>
        <v>176.82366036543934</v>
      </c>
      <c r="AZ105" s="938">
        <f t="shared" si="22"/>
        <v>159.30907465228333</v>
      </c>
      <c r="BA105" s="938">
        <f t="shared" si="23"/>
        <v>179.9566309654831</v>
      </c>
      <c r="BB105" s="938">
        <f t="shared" si="24"/>
        <v>66.989479299455425</v>
      </c>
      <c r="BC105" s="530">
        <f t="shared" si="47"/>
        <v>4569.0529076039238</v>
      </c>
      <c r="BD105" s="724">
        <f t="shared" si="48"/>
        <v>0</v>
      </c>
      <c r="BE105" s="436">
        <f t="shared" si="49"/>
        <v>0.19343040664681491</v>
      </c>
      <c r="BF105" s="624">
        <f t="shared" si="50"/>
        <v>0.24532208563545013</v>
      </c>
      <c r="BG105" s="624">
        <f t="shared" si="51"/>
        <v>6.5673591883493782E-2</v>
      </c>
      <c r="BH105" s="624">
        <f t="shared" si="52"/>
        <v>0</v>
      </c>
      <c r="BI105" s="624">
        <f t="shared" si="53"/>
        <v>0</v>
      </c>
      <c r="BJ105" s="624">
        <f t="shared" si="54"/>
        <v>0</v>
      </c>
      <c r="BK105" s="624">
        <f t="shared" si="55"/>
        <v>0.49557391583424132</v>
      </c>
      <c r="BL105" s="624">
        <f t="shared" si="56"/>
        <v>1.0000000000000002</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96.059347468913728</v>
      </c>
      <c r="BW105" s="114">
        <f t="shared" si="59"/>
        <v>0.56964880017415198</v>
      </c>
      <c r="BX105" s="1689">
        <f t="shared" si="25"/>
        <v>50.358140956147174</v>
      </c>
      <c r="BY105" s="527">
        <f t="shared" si="60"/>
        <v>96.059347468913728</v>
      </c>
      <c r="BZ105" s="417">
        <f t="shared" si="61"/>
        <v>0.56964880017415198</v>
      </c>
      <c r="CA105" s="544">
        <f t="shared" si="26"/>
        <v>50.358140956147174</v>
      </c>
      <c r="CB105" s="649">
        <f t="shared" si="27"/>
        <v>0.21340034507035144</v>
      </c>
      <c r="CC105" s="525">
        <f t="shared" si="62"/>
        <v>0.29581125115006557</v>
      </c>
      <c r="CD105" s="417">
        <f t="shared" si="28"/>
        <v>0.21340034507035144</v>
      </c>
      <c r="CE105" s="525">
        <f t="shared" si="63"/>
        <v>0.29581125115006557</v>
      </c>
      <c r="CF105"/>
      <c r="CG105" s="527">
        <f t="shared" si="64"/>
        <v>1554.5000755590524</v>
      </c>
      <c r="CH105" s="528">
        <f t="shared" si="65"/>
        <v>656.26944163572841</v>
      </c>
      <c r="CI105" s="528">
        <f t="shared" si="66"/>
        <v>2566.7897237992397</v>
      </c>
      <c r="CJ105" s="528">
        <f t="shared" si="67"/>
        <v>3382.1014444750476</v>
      </c>
      <c r="CK105" s="528">
        <f t="shared" si="68"/>
        <v>42.524141551649727</v>
      </c>
      <c r="CL105" s="528">
        <f t="shared" si="69"/>
        <v>8202.1848270207174</v>
      </c>
      <c r="CM105" s="646">
        <f t="shared" si="70"/>
        <v>0</v>
      </c>
    </row>
    <row r="106" spans="1:91" s="4" customFormat="1">
      <c r="A106" s="150">
        <f>'Input data'!A126</f>
        <v>2026</v>
      </c>
      <c r="B106" s="1506">
        <f>'Input data'!B126</f>
        <v>63.421065342005143</v>
      </c>
      <c r="C106" s="1507">
        <f>'Input data'!C126</f>
        <v>4759.3318943865906</v>
      </c>
      <c r="D106" s="1507">
        <f>'Input data'!D126</f>
        <v>48568999.176537097</v>
      </c>
      <c r="E106" s="1455">
        <f t="shared" si="71"/>
        <v>0.91224615384615415</v>
      </c>
      <c r="F106" s="1449">
        <f t="shared" si="72"/>
        <v>0.3433576923076922</v>
      </c>
      <c r="G106" s="1554">
        <f>B106*F106*'Input data'!$C$9</f>
        <v>666.50338782740016</v>
      </c>
      <c r="H106" s="1549">
        <f>'Input data'!I126</f>
        <v>424.26313389388866</v>
      </c>
      <c r="I106" s="1557">
        <f>'Input data'!K126</f>
        <v>26907.219936888188</v>
      </c>
      <c r="J106" s="1557">
        <f t="shared" si="84"/>
        <v>4234.7319631451019</v>
      </c>
      <c r="K106" s="1511">
        <f t="shared" si="73"/>
        <v>8269.5495288873099</v>
      </c>
      <c r="L106" s="1504">
        <f t="shared" si="74"/>
        <v>0.66307692307692334</v>
      </c>
      <c r="M106" s="1504">
        <f t="shared" si="29"/>
        <v>0.54984615384615376</v>
      </c>
      <c r="N106" s="1504">
        <f t="shared" si="75"/>
        <v>0.84215384615384581</v>
      </c>
      <c r="O106" s="1504">
        <f t="shared" si="76"/>
        <v>0.86923076923076903</v>
      </c>
      <c r="P106" s="1449">
        <f t="shared" si="30"/>
        <v>0.23600000000000002</v>
      </c>
      <c r="Q106" s="1508">
        <f t="shared" si="31"/>
        <v>199.45775177427959</v>
      </c>
      <c r="R106" s="1509">
        <f t="shared" si="32"/>
        <v>139.18781844105331</v>
      </c>
      <c r="S106" s="1509">
        <f t="shared" si="33"/>
        <v>407.5995740853723</v>
      </c>
      <c r="T106" s="1509">
        <f t="shared" si="34"/>
        <v>274.45203726815635</v>
      </c>
      <c r="U106" s="1511">
        <f t="shared" si="35"/>
        <v>0</v>
      </c>
      <c r="V106" s="1509">
        <f t="shared" si="9"/>
        <v>1020.6971815688615</v>
      </c>
      <c r="W106" s="1454">
        <f>($N$147-$N$142)/($A$107-$A$102)+W105</f>
        <v>0.5</v>
      </c>
      <c r="X106" s="530">
        <f t="shared" si="36"/>
        <v>3033.4854703020706</v>
      </c>
      <c r="Y106" s="528">
        <f t="shared" si="77"/>
        <v>4054.1826518709322</v>
      </c>
      <c r="Z106" s="528">
        <f t="shared" si="78"/>
        <v>8450.0988401614813</v>
      </c>
      <c r="AA106" s="530">
        <f t="shared" si="79"/>
        <v>4215.3668770163795</v>
      </c>
      <c r="AB106" s="1091">
        <f t="shared" si="37"/>
        <v>0.49885415031853331</v>
      </c>
      <c r="AC106" s="135" t="str">
        <f t="shared" si="38"/>
        <v>Yes</v>
      </c>
      <c r="AD106" s="1091">
        <f t="shared" si="39"/>
        <v>0.49885415031853331</v>
      </c>
      <c r="AE106" s="649">
        <f t="shared" si="10"/>
        <v>0.23044140465623386</v>
      </c>
      <c r="AF106" s="530">
        <f t="shared" si="11"/>
        <v>326.49534137552507</v>
      </c>
      <c r="AG106" s="527">
        <f t="shared" si="40"/>
        <v>4234.7319631451019</v>
      </c>
      <c r="AH106" s="528">
        <f t="shared" si="80"/>
        <v>8396.3580112842246</v>
      </c>
      <c r="AI106" s="528">
        <f t="shared" si="81"/>
        <v>6437.6604656145792</v>
      </c>
      <c r="AJ106" s="528">
        <f t="shared" si="12"/>
        <v>1637.9319391935446</v>
      </c>
      <c r="AK106" s="528">
        <f t="shared" si="41"/>
        <v>20706.682379237453</v>
      </c>
      <c r="AL106" s="716">
        <f t="shared" si="13"/>
        <v>0</v>
      </c>
      <c r="AM106" s="417">
        <f t="shared" si="42"/>
        <v>0.20451040324022446</v>
      </c>
      <c r="AN106" s="417">
        <f t="shared" si="43"/>
        <v>0.40549025949725465</v>
      </c>
      <c r="AO106" s="417">
        <f t="shared" si="44"/>
        <v>0.31089772604372434</v>
      </c>
      <c r="AP106" s="417">
        <f t="shared" si="45"/>
        <v>7.9101611218796483E-2</v>
      </c>
      <c r="AQ106" s="417">
        <f t="shared" si="46"/>
        <v>0.99999999999999989</v>
      </c>
      <c r="AR106" s="1086">
        <f t="shared" si="14"/>
        <v>833.82339101172897</v>
      </c>
      <c r="AS106" s="938">
        <f t="shared" si="15"/>
        <v>1057.5136395598799</v>
      </c>
      <c r="AT106" s="938">
        <f t="shared" si="16"/>
        <v>269.75320797639517</v>
      </c>
      <c r="AU106" s="938">
        <f t="shared" si="17"/>
        <v>0</v>
      </c>
      <c r="AV106" s="938">
        <f t="shared" si="18"/>
        <v>0</v>
      </c>
      <c r="AW106" s="938">
        <f t="shared" si="19"/>
        <v>0</v>
      </c>
      <c r="AX106" s="938">
        <f t="shared" si="20"/>
        <v>1573.6133572316546</v>
      </c>
      <c r="AY106" s="938">
        <f t="shared" si="21"/>
        <v>157.75521557479439</v>
      </c>
      <c r="AZ106" s="938">
        <f t="shared" si="22"/>
        <v>126.41575988277421</v>
      </c>
      <c r="BA106" s="938">
        <f t="shared" si="23"/>
        <v>153.15575187510333</v>
      </c>
      <c r="BB106" s="938">
        <f t="shared" si="24"/>
        <v>62.701640032769753</v>
      </c>
      <c r="BC106" s="530">
        <f t="shared" si="47"/>
        <v>4234.7319631451001</v>
      </c>
      <c r="BD106" s="724">
        <f t="shared" si="48"/>
        <v>0</v>
      </c>
      <c r="BE106" s="436">
        <f t="shared" si="49"/>
        <v>0.19690110218745824</v>
      </c>
      <c r="BF106" s="624">
        <f t="shared" si="50"/>
        <v>0.24972386653120623</v>
      </c>
      <c r="BG106" s="624">
        <f t="shared" si="51"/>
        <v>6.3700184645464952E-2</v>
      </c>
      <c r="BH106" s="624">
        <f t="shared" si="52"/>
        <v>0</v>
      </c>
      <c r="BI106" s="624">
        <f t="shared" si="53"/>
        <v>0</v>
      </c>
      <c r="BJ106" s="624">
        <f t="shared" si="54"/>
        <v>0</v>
      </c>
      <c r="BK106" s="624">
        <f t="shared" si="55"/>
        <v>0.48967484663587058</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94.431291717526335</v>
      </c>
      <c r="BW106" s="114">
        <f t="shared" si="59"/>
        <v>0.59299438334623022</v>
      </c>
      <c r="BX106" s="1689">
        <f t="shared" si="25"/>
        <v>48.568999176537098</v>
      </c>
      <c r="BY106" s="527">
        <f t="shared" si="60"/>
        <v>94.431291717526335</v>
      </c>
      <c r="BZ106" s="417">
        <f t="shared" si="61"/>
        <v>0.59299438334623022</v>
      </c>
      <c r="CA106" s="544">
        <f t="shared" si="26"/>
        <v>48.568999176537098</v>
      </c>
      <c r="CB106" s="649">
        <f t="shared" si="27"/>
        <v>0.23044140465623386</v>
      </c>
      <c r="CC106" s="525">
        <f t="shared" si="62"/>
        <v>0.30335927190463674</v>
      </c>
      <c r="CD106" s="417">
        <f t="shared" si="28"/>
        <v>0.23044140465623386</v>
      </c>
      <c r="CE106" s="525">
        <f t="shared" si="63"/>
        <v>0.30335927190463674</v>
      </c>
      <c r="CF106"/>
      <c r="CG106" s="527">
        <f t="shared" si="64"/>
        <v>1591.9683521243355</v>
      </c>
      <c r="CH106" s="528">
        <f t="shared" si="65"/>
        <v>678.19667772096068</v>
      </c>
      <c r="CI106" s="528">
        <f t="shared" si="66"/>
        <v>2637.3523268833728</v>
      </c>
      <c r="CJ106" s="528">
        <f t="shared" si="67"/>
        <v>3445.8978012557582</v>
      </c>
      <c r="CK106" s="528">
        <f t="shared" si="68"/>
        <v>42.942853299797797</v>
      </c>
      <c r="CL106" s="528">
        <f t="shared" si="69"/>
        <v>8396.3580112842246</v>
      </c>
      <c r="CM106" s="646">
        <f t="shared" si="70"/>
        <v>0</v>
      </c>
    </row>
    <row r="107" spans="1:91" s="464" customFormat="1">
      <c r="A107" s="150">
        <f>'Input data'!A127</f>
        <v>2027</v>
      </c>
      <c r="B107" s="1506">
        <f>'Input data'!B127</f>
        <v>64.045537563425796</v>
      </c>
      <c r="C107" s="1507">
        <f>'Input data'!C127</f>
        <v>4833.4252769493587</v>
      </c>
      <c r="D107" s="1507">
        <f>'Input data'!D127</f>
        <v>48190122.249078177</v>
      </c>
      <c r="E107" s="1455">
        <f t="shared" si="71"/>
        <v>0.93418461538461572</v>
      </c>
      <c r="F107" s="1449">
        <f t="shared" si="72"/>
        <v>0.34933076923076911</v>
      </c>
      <c r="G107" s="1554">
        <f>B107*F107*'Input data'!$C$9</f>
        <v>684.77478823938122</v>
      </c>
      <c r="H107" s="1549">
        <f>'Input data'!I127</f>
        <v>424.26313389388866</v>
      </c>
      <c r="I107" s="1557">
        <f>'Input data'!K127</f>
        <v>27172.160478577796</v>
      </c>
      <c r="J107" s="1557">
        <f>J97*(1-$G$5)</f>
        <v>3900.4110186862777</v>
      </c>
      <c r="K107" s="1511">
        <f t="shared" si="73"/>
        <v>8726.9932307216241</v>
      </c>
      <c r="L107" s="1504">
        <f t="shared" si="74"/>
        <v>0.67230769230769261</v>
      </c>
      <c r="M107" s="1504">
        <f t="shared" si="29"/>
        <v>0.56238461538461526</v>
      </c>
      <c r="N107" s="1504">
        <f t="shared" si="75"/>
        <v>0.85661538461538422</v>
      </c>
      <c r="O107" s="1504">
        <f t="shared" si="76"/>
        <v>0.87692307692307669</v>
      </c>
      <c r="P107" s="1449">
        <f t="shared" si="30"/>
        <v>0.23600000000000002</v>
      </c>
      <c r="Q107" s="1508">
        <f t="shared" si="31"/>
        <v>223.80189128168513</v>
      </c>
      <c r="R107" s="1509">
        <f t="shared" si="32"/>
        <v>156.17591561811867</v>
      </c>
      <c r="S107" s="1509">
        <f t="shared" si="33"/>
        <v>457.34775788081924</v>
      </c>
      <c r="T107" s="1509">
        <f t="shared" si="34"/>
        <v>307.94934997680866</v>
      </c>
      <c r="U107" s="1511">
        <f t="shared" si="35"/>
        <v>0</v>
      </c>
      <c r="V107" s="1509">
        <f t="shared" si="9"/>
        <v>1145.2749147574318</v>
      </c>
      <c r="W107" s="1454">
        <f>$C$27</f>
        <v>0.5</v>
      </c>
      <c r="X107" s="530">
        <f t="shared" si="36"/>
        <v>3033.4854703020706</v>
      </c>
      <c r="Y107" s="528">
        <f t="shared" si="77"/>
        <v>4178.7603850595024</v>
      </c>
      <c r="Z107" s="528">
        <f t="shared" si="78"/>
        <v>8448.6438643483998</v>
      </c>
      <c r="AA107" s="530">
        <f t="shared" si="79"/>
        <v>4548.2328456621217</v>
      </c>
      <c r="AB107" s="1091">
        <f t="shared" si="37"/>
        <v>0.53833880545666757</v>
      </c>
      <c r="AC107" s="135" t="str">
        <f t="shared" si="38"/>
        <v>Yes</v>
      </c>
      <c r="AD107" s="1091">
        <f t="shared" si="39"/>
        <v>0.53833880545666757</v>
      </c>
      <c r="AE107" s="649">
        <f t="shared" si="10"/>
        <v>0.24719384179753368</v>
      </c>
      <c r="AF107" s="530">
        <f t="shared" si="11"/>
        <v>319.38789989359691</v>
      </c>
      <c r="AG107" s="527">
        <f t="shared" si="40"/>
        <v>3900.4110186862777</v>
      </c>
      <c r="AH107" s="528">
        <f t="shared" si="80"/>
        <v>8593.5598052314726</v>
      </c>
      <c r="AI107" s="528">
        <f t="shared" si="81"/>
        <v>6437.6604656145792</v>
      </c>
      <c r="AJ107" s="528">
        <f t="shared" si="12"/>
        <v>1523.7384504067129</v>
      </c>
      <c r="AK107" s="528">
        <f t="shared" si="41"/>
        <v>20455.36973993904</v>
      </c>
      <c r="AL107" s="716">
        <f t="shared" si="13"/>
        <v>0</v>
      </c>
      <c r="AM107" s="417">
        <f t="shared" si="42"/>
        <v>0.19067907685240901</v>
      </c>
      <c r="AN107" s="417">
        <f t="shared" si="43"/>
        <v>0.42011266061119279</v>
      </c>
      <c r="AO107" s="417">
        <f t="shared" si="44"/>
        <v>0.31471738460171017</v>
      </c>
      <c r="AP107" s="417">
        <f t="shared" si="45"/>
        <v>7.4490877934688157E-2</v>
      </c>
      <c r="AQ107" s="417">
        <f t="shared" si="46"/>
        <v>1.0000000000000002</v>
      </c>
      <c r="AR107" s="1086">
        <f t="shared" si="14"/>
        <v>781.77006592112741</v>
      </c>
      <c r="AS107" s="938">
        <f t="shared" si="15"/>
        <v>991.49594101467198</v>
      </c>
      <c r="AT107" s="938">
        <f t="shared" si="16"/>
        <v>240.61446429666105</v>
      </c>
      <c r="AU107" s="938">
        <f t="shared" si="17"/>
        <v>0</v>
      </c>
      <c r="AV107" s="938">
        <f t="shared" si="18"/>
        <v>0</v>
      </c>
      <c r="AW107" s="938">
        <f t="shared" si="19"/>
        <v>0</v>
      </c>
      <c r="AX107" s="938">
        <f t="shared" si="20"/>
        <v>1463.9040372263819</v>
      </c>
      <c r="AY107" s="938">
        <f t="shared" si="21"/>
        <v>139.54678704642032</v>
      </c>
      <c r="AZ107" s="938">
        <f t="shared" si="22"/>
        <v>96.488323147320216</v>
      </c>
      <c r="BA107" s="938">
        <f t="shared" si="23"/>
        <v>128.26119867713939</v>
      </c>
      <c r="BB107" s="938">
        <f t="shared" si="24"/>
        <v>58.33020135655503</v>
      </c>
      <c r="BC107" s="530">
        <f t="shared" si="47"/>
        <v>3900.4110186862772</v>
      </c>
      <c r="BD107" s="724">
        <f t="shared" si="48"/>
        <v>0</v>
      </c>
      <c r="BE107" s="436">
        <f t="shared" si="49"/>
        <v>0.20043273956918531</v>
      </c>
      <c r="BF107" s="624">
        <f t="shared" si="50"/>
        <v>0.25420293816845596</v>
      </c>
      <c r="BG107" s="624">
        <f t="shared" si="51"/>
        <v>6.1689515064928716E-2</v>
      </c>
      <c r="BH107" s="624">
        <f t="shared" si="52"/>
        <v>0</v>
      </c>
      <c r="BI107" s="624">
        <f t="shared" si="53"/>
        <v>0</v>
      </c>
      <c r="BJ107" s="624">
        <f t="shared" si="54"/>
        <v>0</v>
      </c>
      <c r="BK107" s="624">
        <f t="shared" si="55"/>
        <v>0.48367480719743011</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94.181019377283647</v>
      </c>
      <c r="BW107" s="114">
        <f t="shared" si="59"/>
        <v>0.61161661178772531</v>
      </c>
      <c r="BX107" s="1689">
        <f t="shared" si="25"/>
        <v>48.190122249078179</v>
      </c>
      <c r="BY107" s="527">
        <f t="shared" si="60"/>
        <v>94.181019377283647</v>
      </c>
      <c r="BZ107" s="417">
        <f t="shared" si="61"/>
        <v>0.61161661178772531</v>
      </c>
      <c r="CA107" s="544">
        <f t="shared" si="26"/>
        <v>48.190122249078179</v>
      </c>
      <c r="CB107" s="649">
        <f t="shared" si="27"/>
        <v>0.24719384179753368</v>
      </c>
      <c r="CC107" s="525">
        <f t="shared" si="62"/>
        <v>0.30670715972377605</v>
      </c>
      <c r="CD107" s="417">
        <f t="shared" si="28"/>
        <v>0.24719384179753368</v>
      </c>
      <c r="CE107" s="525">
        <f t="shared" si="63"/>
        <v>0.30670715972377605</v>
      </c>
      <c r="CF107" s="1"/>
      <c r="CG107" s="527">
        <f t="shared" si="64"/>
        <v>1630.0237748349339</v>
      </c>
      <c r="CH107" s="528">
        <f t="shared" si="65"/>
        <v>700.49209759758685</v>
      </c>
      <c r="CI107" s="528">
        <f t="shared" si="66"/>
        <v>2709.0556551919217</v>
      </c>
      <c r="CJ107" s="528">
        <f t="shared" si="67"/>
        <v>3510.6225897356312</v>
      </c>
      <c r="CK107" s="528">
        <f t="shared" si="68"/>
        <v>43.365687871397228</v>
      </c>
      <c r="CL107" s="528">
        <f t="shared" si="69"/>
        <v>8593.5598052314708</v>
      </c>
      <c r="CM107" s="646">
        <f t="shared" si="70"/>
        <v>0</v>
      </c>
    </row>
    <row r="108" spans="1:91" s="4" customFormat="1">
      <c r="A108" s="150">
        <f>'Input data'!A128</f>
        <v>2028</v>
      </c>
      <c r="B108" s="1506">
        <f>'Input data'!B128</f>
        <v>64.676158618096451</v>
      </c>
      <c r="C108" s="1507">
        <f>'Input data'!C128</f>
        <v>4919.2292537742524</v>
      </c>
      <c r="D108" s="1507">
        <f>'Input data'!D128</f>
        <v>48438037.819118328</v>
      </c>
      <c r="E108" s="1455">
        <f t="shared" si="71"/>
        <v>0.9561230769230773</v>
      </c>
      <c r="F108" s="1449">
        <f t="shared" si="72"/>
        <v>0.35530384615384603</v>
      </c>
      <c r="G108" s="1554">
        <f>B108*F108*'Input data'!$C$9</f>
        <v>703.34138624405773</v>
      </c>
      <c r="H108" s="1549">
        <f>'Input data'!I128</f>
        <v>424.26313389388866</v>
      </c>
      <c r="I108" s="1557">
        <f>'Input data'!K128</f>
        <v>27439.709743531836</v>
      </c>
      <c r="J108" s="1557">
        <f>($J$112-$J$107)/($A$112-$A$107)+J107</f>
        <v>3566.0900742274539</v>
      </c>
      <c r="K108" s="1511">
        <f t="shared" si="73"/>
        <v>9185.6492543829336</v>
      </c>
      <c r="L108" s="1504">
        <f t="shared" si="74"/>
        <v>0.68153846153846187</v>
      </c>
      <c r="M108" s="1504">
        <f t="shared" si="29"/>
        <v>0.57492307692307676</v>
      </c>
      <c r="N108" s="1504">
        <f t="shared" si="75"/>
        <v>0.87107692307692264</v>
      </c>
      <c r="O108" s="1504">
        <f t="shared" si="76"/>
        <v>0.88461538461538436</v>
      </c>
      <c r="P108" s="1449">
        <f t="shared" si="30"/>
        <v>0.23600000000000002</v>
      </c>
      <c r="Q108" s="1508">
        <f t="shared" si="31"/>
        <v>248.60609946091267</v>
      </c>
      <c r="R108" s="1509">
        <f t="shared" si="32"/>
        <v>173.48506301356042</v>
      </c>
      <c r="S108" s="1509">
        <f t="shared" si="33"/>
        <v>508.03610967182613</v>
      </c>
      <c r="T108" s="1509">
        <f t="shared" si="34"/>
        <v>342.07971295872221</v>
      </c>
      <c r="U108" s="1511">
        <f t="shared" si="35"/>
        <v>0</v>
      </c>
      <c r="V108" s="1509">
        <f t="shared" si="9"/>
        <v>1272.2069851050214</v>
      </c>
      <c r="W108" s="1454">
        <f>W107</f>
        <v>0.5</v>
      </c>
      <c r="X108" s="530">
        <f t="shared" si="36"/>
        <v>3033.4854703020706</v>
      </c>
      <c r="Y108" s="528">
        <f t="shared" si="77"/>
        <v>4305.692455407092</v>
      </c>
      <c r="Z108" s="528">
        <f t="shared" si="78"/>
        <v>8446.046873203295</v>
      </c>
      <c r="AA108" s="530">
        <f t="shared" si="79"/>
        <v>4879.9567989758416</v>
      </c>
      <c r="AB108" s="1091">
        <f t="shared" si="37"/>
        <v>0.57777998065088187</v>
      </c>
      <c r="AC108" s="135" t="str">
        <f t="shared" si="38"/>
        <v>Yes</v>
      </c>
      <c r="AD108" s="1091">
        <f t="shared" si="39"/>
        <v>0.57777998065088187</v>
      </c>
      <c r="AE108" s="649">
        <f t="shared" si="10"/>
        <v>0.26366335378378059</v>
      </c>
      <c r="AF108" s="530">
        <f t="shared" si="11"/>
        <v>312.40049312460883</v>
      </c>
      <c r="AG108" s="527">
        <f t="shared" si="40"/>
        <v>3566.0900742274539</v>
      </c>
      <c r="AH108" s="528">
        <f t="shared" si="80"/>
        <v>8793.8310253748859</v>
      </c>
      <c r="AI108" s="528">
        <f t="shared" si="81"/>
        <v>6437.6604656145792</v>
      </c>
      <c r="AJ108" s="528">
        <f t="shared" si="12"/>
        <v>1407.2822804818311</v>
      </c>
      <c r="AK108" s="528">
        <f t="shared" si="41"/>
        <v>20204.86384569875</v>
      </c>
      <c r="AL108" s="716">
        <f t="shared" si="13"/>
        <v>0</v>
      </c>
      <c r="AM108" s="417">
        <f t="shared" si="42"/>
        <v>0.17649661494683172</v>
      </c>
      <c r="AN108" s="417">
        <f t="shared" si="43"/>
        <v>0.43523337214900032</v>
      </c>
      <c r="AO108" s="417">
        <f t="shared" si="44"/>
        <v>0.31861934407368159</v>
      </c>
      <c r="AP108" s="417">
        <f t="shared" si="45"/>
        <v>6.9650668830486373E-2</v>
      </c>
      <c r="AQ108" s="417">
        <f t="shared" si="46"/>
        <v>1</v>
      </c>
      <c r="AR108" s="1086">
        <f t="shared" si="14"/>
        <v>727.5808817642037</v>
      </c>
      <c r="AS108" s="938">
        <f t="shared" si="15"/>
        <v>922.76939534528663</v>
      </c>
      <c r="AT108" s="938">
        <f t="shared" si="16"/>
        <v>212.68239320588384</v>
      </c>
      <c r="AU108" s="938">
        <f t="shared" si="17"/>
        <v>0</v>
      </c>
      <c r="AV108" s="938">
        <f t="shared" si="18"/>
        <v>0</v>
      </c>
      <c r="AW108" s="938">
        <f t="shared" si="19"/>
        <v>0</v>
      </c>
      <c r="AX108" s="938">
        <f t="shared" si="20"/>
        <v>1352.0208874197656</v>
      </c>
      <c r="AY108" s="938">
        <f t="shared" si="21"/>
        <v>122.22252761803277</v>
      </c>
      <c r="AZ108" s="938">
        <f t="shared" si="22"/>
        <v>69.613646514132711</v>
      </c>
      <c r="BA108" s="938">
        <f t="shared" si="23"/>
        <v>105.32819733151315</v>
      </c>
      <c r="BB108" s="938">
        <f t="shared" si="24"/>
        <v>53.872145028634442</v>
      </c>
      <c r="BC108" s="530">
        <f t="shared" si="47"/>
        <v>3566.090074227453</v>
      </c>
      <c r="BD108" s="724">
        <f t="shared" si="48"/>
        <v>0</v>
      </c>
      <c r="BE108" s="436">
        <f t="shared" si="49"/>
        <v>0.20402762314460737</v>
      </c>
      <c r="BF108" s="624">
        <f t="shared" si="50"/>
        <v>0.25876222308972174</v>
      </c>
      <c r="BG108" s="624">
        <f t="shared" si="51"/>
        <v>5.9640219057551069E-2</v>
      </c>
      <c r="BH108" s="624">
        <f t="shared" si="52"/>
        <v>0</v>
      </c>
      <c r="BI108" s="624">
        <f t="shared" si="53"/>
        <v>0</v>
      </c>
      <c r="BJ108" s="624">
        <f t="shared" si="54"/>
        <v>0</v>
      </c>
      <c r="BK108" s="624">
        <f t="shared" si="55"/>
        <v>0.47756993470811976</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94.618392890226815</v>
      </c>
      <c r="BW108" s="114">
        <f t="shared" si="59"/>
        <v>0.62849653314558029</v>
      </c>
      <c r="BX108" s="1689">
        <f t="shared" si="25"/>
        <v>48.438037819118328</v>
      </c>
      <c r="BY108" s="527">
        <f t="shared" si="60"/>
        <v>94.618392890226815</v>
      </c>
      <c r="BZ108" s="417">
        <f t="shared" si="61"/>
        <v>0.62849653314558029</v>
      </c>
      <c r="CA108" s="544">
        <f t="shared" si="26"/>
        <v>48.438037819118328</v>
      </c>
      <c r="CB108" s="649">
        <f t="shared" si="27"/>
        <v>0.26366335378378059</v>
      </c>
      <c r="CC108" s="525">
        <f t="shared" si="62"/>
        <v>0.30856267073802934</v>
      </c>
      <c r="CD108" s="417">
        <f t="shared" si="28"/>
        <v>0.26366335378378059</v>
      </c>
      <c r="CE108" s="525">
        <f t="shared" si="63"/>
        <v>0.30856267073802934</v>
      </c>
      <c r="CF108"/>
      <c r="CG108" s="527">
        <f t="shared" si="64"/>
        <v>1668.6742736543031</v>
      </c>
      <c r="CH108" s="528">
        <f t="shared" si="65"/>
        <v>723.16082596952128</v>
      </c>
      <c r="CI108" s="528">
        <f t="shared" si="66"/>
        <v>2781.9153316846123</v>
      </c>
      <c r="CJ108" s="528">
        <f t="shared" si="67"/>
        <v>3576.2879082048339</v>
      </c>
      <c r="CK108" s="528">
        <f t="shared" si="68"/>
        <v>43.792685861614679</v>
      </c>
      <c r="CL108" s="528">
        <f t="shared" si="69"/>
        <v>8793.8310253748841</v>
      </c>
      <c r="CM108" s="646">
        <f t="shared" si="70"/>
        <v>0</v>
      </c>
    </row>
    <row r="109" spans="1:91" s="4" customFormat="1">
      <c r="A109" s="150">
        <f>'Input data'!A129</f>
        <v>2029</v>
      </c>
      <c r="B109" s="1506">
        <f>'Input data'!B129</f>
        <v>65.31298905018393</v>
      </c>
      <c r="C109" s="1507">
        <f>'Input data'!C129</f>
        <v>5028.6283675846353</v>
      </c>
      <c r="D109" s="1507">
        <f>'Input data'!D129</f>
        <v>47172284.942566738</v>
      </c>
      <c r="E109" s="1455">
        <f t="shared" si="71"/>
        <v>0.97806153846153887</v>
      </c>
      <c r="F109" s="1449">
        <f t="shared" si="72"/>
        <v>0.36127692307692294</v>
      </c>
      <c r="G109" s="1554">
        <f>B109*F109*'Input data'!$C$9</f>
        <v>722.20722367827375</v>
      </c>
      <c r="H109" s="1549">
        <f>'Input data'!I129</f>
        <v>424.26313389388866</v>
      </c>
      <c r="I109" s="1557">
        <f>'Input data'!K129</f>
        <v>27709.893418408268</v>
      </c>
      <c r="J109" s="1557">
        <f t="shared" ref="J109:J111" si="85">($J$112-$J$107)/($A$112-$A$107)+J108</f>
        <v>3231.7691297686301</v>
      </c>
      <c r="K109" s="1511">
        <f t="shared" si="73"/>
        <v>9645.5295369350624</v>
      </c>
      <c r="L109" s="1504">
        <f t="shared" si="74"/>
        <v>0.69076923076923114</v>
      </c>
      <c r="M109" s="1504">
        <f>($M$110-$M$97)/($A$110-$A$97)+M108</f>
        <v>0.58746153846153826</v>
      </c>
      <c r="N109" s="1504">
        <f t="shared" si="75"/>
        <v>0.88553846153846105</v>
      </c>
      <c r="O109" s="1504">
        <f t="shared" si="76"/>
        <v>0.89230769230769202</v>
      </c>
      <c r="P109" s="1449">
        <f t="shared" si="30"/>
        <v>0.23600000000000002</v>
      </c>
      <c r="Q109" s="1508">
        <f t="shared" si="31"/>
        <v>273.87707617034994</v>
      </c>
      <c r="R109" s="1509">
        <f t="shared" si="32"/>
        <v>191.11993599679636</v>
      </c>
      <c r="S109" s="1509">
        <f t="shared" si="33"/>
        <v>559.67832087625584</v>
      </c>
      <c r="T109" s="1509">
        <f t="shared" si="34"/>
        <v>376.85234515759566</v>
      </c>
      <c r="U109" s="1511">
        <f t="shared" si="35"/>
        <v>0</v>
      </c>
      <c r="V109" s="1509">
        <f t="shared" si="9"/>
        <v>1401.5276782009978</v>
      </c>
      <c r="W109" s="1454">
        <f t="shared" ref="W109:W130" si="86">W108</f>
        <v>0.5</v>
      </c>
      <c r="X109" s="530">
        <f t="shared" si="36"/>
        <v>3033.4854703020706</v>
      </c>
      <c r="Y109" s="528">
        <f t="shared" si="77"/>
        <v>4435.0131485030688</v>
      </c>
      <c r="Z109" s="528">
        <f t="shared" si="78"/>
        <v>8442.2855182006242</v>
      </c>
      <c r="AA109" s="530">
        <f t="shared" si="79"/>
        <v>5210.5163884319936</v>
      </c>
      <c r="AB109" s="1091">
        <f t="shared" si="37"/>
        <v>0.61719262837044575</v>
      </c>
      <c r="AC109" s="135" t="str">
        <f t="shared" si="38"/>
        <v>Yes</v>
      </c>
      <c r="AD109" s="1091">
        <f t="shared" si="39"/>
        <v>0.61719262837044575</v>
      </c>
      <c r="AE109" s="649">
        <f t="shared" si="10"/>
        <v>0.27985563375052358</v>
      </c>
      <c r="AF109" s="530">
        <f t="shared" si="11"/>
        <v>305.53070568103118</v>
      </c>
      <c r="AG109" s="527">
        <f t="shared" si="40"/>
        <v>3231.7691297686301</v>
      </c>
      <c r="AH109" s="528">
        <f t="shared" si="80"/>
        <v>8997.2129983908544</v>
      </c>
      <c r="AI109" s="528">
        <f t="shared" si="81"/>
        <v>6437.6604656145792</v>
      </c>
      <c r="AJ109" s="528">
        <f t="shared" si="12"/>
        <v>1288.4810408660949</v>
      </c>
      <c r="AK109" s="528">
        <f t="shared" si="41"/>
        <v>19955.12363464016</v>
      </c>
      <c r="AL109" s="716">
        <f t="shared" si="13"/>
        <v>0</v>
      </c>
      <c r="AM109" s="417">
        <f t="shared" si="42"/>
        <v>0.161951847001268</v>
      </c>
      <c r="AN109" s="417">
        <f t="shared" si="43"/>
        <v>0.45087232547998674</v>
      </c>
      <c r="AO109" s="417">
        <f t="shared" si="44"/>
        <v>0.32260689452404218</v>
      </c>
      <c r="AP109" s="417">
        <f t="shared" si="45"/>
        <v>6.456893299470301E-2</v>
      </c>
      <c r="AQ109" s="417">
        <f t="shared" si="46"/>
        <v>1</v>
      </c>
      <c r="AR109" s="1086">
        <f t="shared" si="14"/>
        <v>671.20018188498921</v>
      </c>
      <c r="AS109" s="938">
        <f t="shared" si="15"/>
        <v>851.26341485479361</v>
      </c>
      <c r="AT109" s="938">
        <f t="shared" si="16"/>
        <v>185.99112990290195</v>
      </c>
      <c r="AU109" s="938">
        <f t="shared" si="17"/>
        <v>0</v>
      </c>
      <c r="AV109" s="938">
        <f t="shared" si="18"/>
        <v>0</v>
      </c>
      <c r="AW109" s="938">
        <f t="shared" si="19"/>
        <v>0</v>
      </c>
      <c r="AX109" s="938">
        <f t="shared" si="20"/>
        <v>1237.8847545063022</v>
      </c>
      <c r="AY109" s="938">
        <f t="shared" si="21"/>
        <v>105.80779139698581</v>
      </c>
      <c r="AZ109" s="938">
        <f t="shared" si="22"/>
        <v>45.882855936635217</v>
      </c>
      <c r="BA109" s="938">
        <f t="shared" si="23"/>
        <v>84.414684151566917</v>
      </c>
      <c r="BB109" s="938">
        <f t="shared" si="24"/>
        <v>49.324317134454468</v>
      </c>
      <c r="BC109" s="530">
        <f t="shared" si="47"/>
        <v>3231.7691297686292</v>
      </c>
      <c r="BD109" s="724">
        <f t="shared" si="48"/>
        <v>0</v>
      </c>
      <c r="BE109" s="436">
        <f t="shared" si="49"/>
        <v>0.20768815931261841</v>
      </c>
      <c r="BF109" s="624">
        <f t="shared" si="50"/>
        <v>0.26340477325982065</v>
      </c>
      <c r="BG109" s="624">
        <f t="shared" si="51"/>
        <v>5.7550871499356622E-2</v>
      </c>
      <c r="BH109" s="624">
        <f t="shared" si="52"/>
        <v>0</v>
      </c>
      <c r="BI109" s="624">
        <f t="shared" si="53"/>
        <v>0</v>
      </c>
      <c r="BJ109" s="624">
        <f t="shared" si="54"/>
        <v>0</v>
      </c>
      <c r="BK109" s="624">
        <f t="shared" si="55"/>
        <v>0.47135619592820438</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93.663848789751768</v>
      </c>
      <c r="BW109" s="114">
        <f t="shared" si="59"/>
        <v>0.6502037763794668</v>
      </c>
      <c r="BX109" s="1689">
        <f t="shared" si="25"/>
        <v>47.172284942566741</v>
      </c>
      <c r="BY109" s="527">
        <f t="shared" si="60"/>
        <v>93.663848789751768</v>
      </c>
      <c r="BZ109" s="417">
        <f t="shared" si="61"/>
        <v>0.6502037763794668</v>
      </c>
      <c r="CA109" s="544">
        <f t="shared" si="26"/>
        <v>47.172284942566741</v>
      </c>
      <c r="CB109" s="649">
        <f t="shared" si="27"/>
        <v>0.27985563375052358</v>
      </c>
      <c r="CC109" s="525">
        <f t="shared" si="62"/>
        <v>0.31543238100002513</v>
      </c>
      <c r="CD109" s="417">
        <f t="shared" si="28"/>
        <v>0.27985563375052358</v>
      </c>
      <c r="CE109" s="525">
        <f t="shared" si="63"/>
        <v>0.31543238100002513</v>
      </c>
      <c r="CF109"/>
      <c r="CG109" s="527">
        <f t="shared" si="64"/>
        <v>1707.9278777845379</v>
      </c>
      <c r="CH109" s="528">
        <f t="shared" si="65"/>
        <v>746.2080527645885</v>
      </c>
      <c r="CI109" s="528">
        <f t="shared" si="66"/>
        <v>2855.9471763862912</v>
      </c>
      <c r="CJ109" s="528">
        <f t="shared" si="67"/>
        <v>3642.9060031901004</v>
      </c>
      <c r="CK109" s="528">
        <f t="shared" si="68"/>
        <v>44.223888265335049</v>
      </c>
      <c r="CL109" s="528">
        <f t="shared" si="69"/>
        <v>8997.2129983908526</v>
      </c>
      <c r="CM109" s="646">
        <f t="shared" si="70"/>
        <v>0</v>
      </c>
    </row>
    <row r="110" spans="1:91" s="464" customFormat="1">
      <c r="A110" s="150">
        <f>'Input data'!A130</f>
        <v>2030</v>
      </c>
      <c r="B110" s="1506">
        <f>'Input data'!B130</f>
        <v>65.956090000000003</v>
      </c>
      <c r="C110" s="1507">
        <f>'Input data'!C130</f>
        <v>5124.9200809700387</v>
      </c>
      <c r="D110" s="1507">
        <f>'Input data'!D130</f>
        <v>46124498.893218428</v>
      </c>
      <c r="E110" s="1455">
        <f>C52</f>
        <v>1</v>
      </c>
      <c r="F110" s="1449">
        <f>D52</f>
        <v>0.36725000000000002</v>
      </c>
      <c r="G110" s="1554">
        <f>B110*F110*'Input data'!$C$9</f>
        <v>741.37639335418953</v>
      </c>
      <c r="H110" s="1549">
        <f>'Input data'!I130</f>
        <v>424.26313389388866</v>
      </c>
      <c r="I110" s="1557">
        <f>'Input data'!K130</f>
        <v>27982.737442787373</v>
      </c>
      <c r="J110" s="1557">
        <f t="shared" si="85"/>
        <v>2897.4481853098064</v>
      </c>
      <c r="K110" s="1511">
        <f t="shared" si="73"/>
        <v>10106.646132979506</v>
      </c>
      <c r="L110" s="1449">
        <f>C19</f>
        <v>0.7</v>
      </c>
      <c r="M110" s="1449">
        <f>D19</f>
        <v>0.6</v>
      </c>
      <c r="N110" s="1449">
        <f>E19</f>
        <v>0.9</v>
      </c>
      <c r="O110" s="1449">
        <f>F19</f>
        <v>0.9</v>
      </c>
      <c r="P110" s="1449">
        <f>G19</f>
        <v>0.23600000000000002</v>
      </c>
      <c r="Q110" s="1508">
        <f t="shared" si="31"/>
        <v>299.62160860317135</v>
      </c>
      <c r="R110" s="1509">
        <f t="shared" si="32"/>
        <v>209.08527088217454</v>
      </c>
      <c r="S110" s="1509">
        <f t="shared" si="33"/>
        <v>612.28826138396289</v>
      </c>
      <c r="T110" s="1509">
        <f t="shared" si="34"/>
        <v>412.27658568899597</v>
      </c>
      <c r="U110" s="1511">
        <f t="shared" si="35"/>
        <v>0</v>
      </c>
      <c r="V110" s="1509">
        <f t="shared" si="9"/>
        <v>1533.2717265583046</v>
      </c>
      <c r="W110" s="1454">
        <f t="shared" si="86"/>
        <v>0.5</v>
      </c>
      <c r="X110" s="530">
        <f t="shared" si="36"/>
        <v>3033.4854703020706</v>
      </c>
      <c r="Y110" s="528">
        <f t="shared" si="77"/>
        <v>4566.7571968603752</v>
      </c>
      <c r="Z110" s="528">
        <f t="shared" si="78"/>
        <v>8437.3371214289364</v>
      </c>
      <c r="AA110" s="530">
        <f t="shared" si="79"/>
        <v>5539.8889361191304</v>
      </c>
      <c r="AB110" s="1091">
        <f t="shared" si="37"/>
        <v>0.65659210440330285</v>
      </c>
      <c r="AC110" s="135" t="str">
        <f t="shared" si="38"/>
        <v>Yes</v>
      </c>
      <c r="AD110" s="1091">
        <f t="shared" si="39"/>
        <v>0.65659210440330285</v>
      </c>
      <c r="AE110" s="649">
        <f t="shared" si="10"/>
        <v>0.29577637461695849</v>
      </c>
      <c r="AF110" s="530">
        <f t="shared" si="11"/>
        <v>298.77612226712506</v>
      </c>
      <c r="AG110" s="527">
        <f t="shared" si="40"/>
        <v>2897.4481853098064</v>
      </c>
      <c r="AH110" s="528">
        <f t="shared" si="80"/>
        <v>9203.7475672090277</v>
      </c>
      <c r="AI110" s="528">
        <f t="shared" si="81"/>
        <v>6437.6604656145792</v>
      </c>
      <c r="AJ110" s="528">
        <f t="shared" si="12"/>
        <v>1167.2485919680901</v>
      </c>
      <c r="AK110" s="528">
        <f t="shared" si="41"/>
        <v>19706.104810101504</v>
      </c>
      <c r="AL110" s="716">
        <f t="shared" si="13"/>
        <v>0</v>
      </c>
      <c r="AM110" s="417">
        <f t="shared" si="42"/>
        <v>0.1470330241938301</v>
      </c>
      <c r="AN110" s="417">
        <f t="shared" si="43"/>
        <v>0.46705057422058949</v>
      </c>
      <c r="AO110" s="417">
        <f t="shared" si="44"/>
        <v>0.32668355962029511</v>
      </c>
      <c r="AP110" s="417">
        <f t="shared" si="45"/>
        <v>5.9232841965285256E-2</v>
      </c>
      <c r="AQ110" s="417">
        <f t="shared" si="46"/>
        <v>1</v>
      </c>
      <c r="AR110" s="1086">
        <f t="shared" si="14"/>
        <v>612.56940461047054</v>
      </c>
      <c r="AS110" s="938">
        <f t="shared" si="15"/>
        <v>776.90372749873484</v>
      </c>
      <c r="AT110" s="938">
        <f t="shared" si="16"/>
        <v>160.57652818153852</v>
      </c>
      <c r="AU110" s="938">
        <f t="shared" si="17"/>
        <v>0</v>
      </c>
      <c r="AV110" s="938">
        <f t="shared" si="18"/>
        <v>0</v>
      </c>
      <c r="AW110" s="938">
        <f t="shared" si="19"/>
        <v>0</v>
      </c>
      <c r="AX110" s="938">
        <f t="shared" si="20"/>
        <v>1121.4128814382834</v>
      </c>
      <c r="AY110" s="938">
        <f t="shared" si="21"/>
        <v>90.329201598007003</v>
      </c>
      <c r="AZ110" s="938">
        <f t="shared" si="22"/>
        <v>25.391562301128037</v>
      </c>
      <c r="BA110" s="938">
        <f t="shared" si="23"/>
        <v>65.581459515614853</v>
      </c>
      <c r="BB110" s="938">
        <f t="shared" si="24"/>
        <v>44.683420166026991</v>
      </c>
      <c r="BC110" s="530">
        <f t="shared" si="47"/>
        <v>2897.4481853098041</v>
      </c>
      <c r="BD110" s="724">
        <f t="shared" si="48"/>
        <v>0</v>
      </c>
      <c r="BE110" s="436">
        <f t="shared" si="49"/>
        <v>0.21141686250550593</v>
      </c>
      <c r="BF110" s="624">
        <f t="shared" si="50"/>
        <v>0.26813377765913904</v>
      </c>
      <c r="BG110" s="624">
        <f t="shared" si="51"/>
        <v>5.541998265772928E-2</v>
      </c>
      <c r="BH110" s="624">
        <f t="shared" si="52"/>
        <v>0</v>
      </c>
      <c r="BI110" s="624">
        <f t="shared" si="53"/>
        <v>0</v>
      </c>
      <c r="BJ110" s="624">
        <f t="shared" si="54"/>
        <v>0</v>
      </c>
      <c r="BK110" s="624">
        <f t="shared" si="55"/>
        <v>0.46502937717762582</v>
      </c>
      <c r="BL110" s="624">
        <f t="shared" si="56"/>
        <v>1</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92.860784104534616</v>
      </c>
      <c r="BW110" s="114">
        <f t="shared" si="59"/>
        <v>0.67077439829901286</v>
      </c>
      <c r="BX110" s="1689">
        <f t="shared" si="25"/>
        <v>46.12449889321843</v>
      </c>
      <c r="BY110" s="527">
        <f t="shared" si="60"/>
        <v>92.860784104534616</v>
      </c>
      <c r="BZ110" s="417">
        <f t="shared" si="61"/>
        <v>0.67077439829901286</v>
      </c>
      <c r="CA110" s="544">
        <f t="shared" si="26"/>
        <v>46.12449889321843</v>
      </c>
      <c r="CB110" s="649">
        <f t="shared" si="27"/>
        <v>0.29577637461695849</v>
      </c>
      <c r="CC110" s="525">
        <f t="shared" si="62"/>
        <v>0.32127590239026171</v>
      </c>
      <c r="CD110" s="417">
        <f t="shared" si="28"/>
        <v>0.29577637461695849</v>
      </c>
      <c r="CE110" s="525">
        <f t="shared" si="63"/>
        <v>0.32127590239026171</v>
      </c>
      <c r="CF110" s="1"/>
      <c r="CG110" s="527">
        <f t="shared" si="64"/>
        <v>1747.7927168518324</v>
      </c>
      <c r="CH110" s="528">
        <f t="shared" si="65"/>
        <v>769.63903392211466</v>
      </c>
      <c r="CI110" s="528">
        <f t="shared" si="66"/>
        <v>2931.1672087530142</v>
      </c>
      <c r="CJ110" s="528">
        <f t="shared" si="67"/>
        <v>3710.4892712009678</v>
      </c>
      <c r="CK110" s="528">
        <f t="shared" si="68"/>
        <v>44.65933648109722</v>
      </c>
      <c r="CL110" s="528">
        <f t="shared" si="69"/>
        <v>9203.7475672090259</v>
      </c>
      <c r="CM110" s="646">
        <f t="shared" si="70"/>
        <v>0</v>
      </c>
    </row>
    <row r="111" spans="1:91" s="4" customFormat="1">
      <c r="A111" s="150">
        <f>'Input data'!A131</f>
        <v>2031</v>
      </c>
      <c r="B111" s="1506">
        <f>'Input data'!B131</f>
        <v>66.518977190687664</v>
      </c>
      <c r="C111" s="1507">
        <f>'Input data'!C131</f>
        <v>5062.3234119259168</v>
      </c>
      <c r="D111" s="1507">
        <f>'Input data'!D131</f>
        <v>43997076.132191785</v>
      </c>
      <c r="E111" s="1455">
        <f>E110</f>
        <v>1</v>
      </c>
      <c r="F111" s="1449">
        <f>F110</f>
        <v>0.36725000000000002</v>
      </c>
      <c r="G111" s="1554">
        <f>B111*F111*'Input data'!$C$9</f>
        <v>747.70350090858369</v>
      </c>
      <c r="H111" s="1549">
        <f>'Input data'!I131</f>
        <v>424.26313389388866</v>
      </c>
      <c r="I111" s="1557">
        <f>'Input data'!K131</f>
        <v>28221.549726337245</v>
      </c>
      <c r="J111" s="1557">
        <f t="shared" si="85"/>
        <v>2563.1272408509826</v>
      </c>
      <c r="K111" s="1511">
        <f t="shared" si="73"/>
        <v>10551.947551239295</v>
      </c>
      <c r="L111" s="1449">
        <f>L110</f>
        <v>0.7</v>
      </c>
      <c r="M111" s="1449">
        <f t="shared" ref="M111:P126" si="87">M110</f>
        <v>0.6</v>
      </c>
      <c r="N111" s="1449">
        <f t="shared" si="87"/>
        <v>0.9</v>
      </c>
      <c r="O111" s="1449">
        <f t="shared" si="87"/>
        <v>0.9</v>
      </c>
      <c r="P111" s="1449">
        <f t="shared" si="87"/>
        <v>0.23600000000000002</v>
      </c>
      <c r="Q111" s="1508">
        <f t="shared" si="31"/>
        <v>302.1786608107227</v>
      </c>
      <c r="R111" s="1509">
        <f t="shared" si="32"/>
        <v>210.86966138714581</v>
      </c>
      <c r="S111" s="1509">
        <f t="shared" si="33"/>
        <v>617.5136957500913</v>
      </c>
      <c r="T111" s="1509">
        <f t="shared" si="34"/>
        <v>415.79506607655048</v>
      </c>
      <c r="U111" s="1511">
        <f t="shared" si="35"/>
        <v>0</v>
      </c>
      <c r="V111" s="1509">
        <f t="shared" si="9"/>
        <v>1546.3570840245102</v>
      </c>
      <c r="W111" s="1454">
        <f t="shared" si="86"/>
        <v>0.5</v>
      </c>
      <c r="X111" s="530">
        <f t="shared" si="36"/>
        <v>3033.4854703020706</v>
      </c>
      <c r="Y111" s="528">
        <f t="shared" si="77"/>
        <v>4579.8425543265803</v>
      </c>
      <c r="Z111" s="528">
        <f t="shared" si="78"/>
        <v>8535.2322377636974</v>
      </c>
      <c r="AA111" s="530">
        <f t="shared" si="79"/>
        <v>5972.1049969127143</v>
      </c>
      <c r="AB111" s="1091">
        <f t="shared" si="37"/>
        <v>0.69970035150179533</v>
      </c>
      <c r="AC111" s="135" t="str">
        <f t="shared" si="38"/>
        <v>Yes</v>
      </c>
      <c r="AD111" s="1091">
        <f t="shared" si="39"/>
        <v>0.69970035150179533</v>
      </c>
      <c r="AE111" s="649">
        <f t="shared" si="10"/>
        <v>0.31568192095747505</v>
      </c>
      <c r="AF111" s="530">
        <f t="shared" si="11"/>
        <v>290.33093279482745</v>
      </c>
      <c r="AG111" s="527">
        <f t="shared" si="40"/>
        <v>2563.1272408509826</v>
      </c>
      <c r="AH111" s="528">
        <f t="shared" si="80"/>
        <v>9282.2948493766726</v>
      </c>
      <c r="AI111" s="528">
        <f t="shared" si="81"/>
        <v>6437.6604656145792</v>
      </c>
      <c r="AJ111" s="528">
        <f t="shared" si="12"/>
        <v>1029.4341404879635</v>
      </c>
      <c r="AK111" s="528">
        <f t="shared" si="41"/>
        <v>19312.5166963302</v>
      </c>
      <c r="AL111" s="716">
        <f t="shared" si="13"/>
        <v>0</v>
      </c>
      <c r="AM111" s="417">
        <f t="shared" si="42"/>
        <v>0.1327184478933309</v>
      </c>
      <c r="AN111" s="417">
        <f t="shared" si="43"/>
        <v>0.48063621097816378</v>
      </c>
      <c r="AO111" s="417">
        <f t="shared" si="44"/>
        <v>0.33334135404723692</v>
      </c>
      <c r="AP111" s="417">
        <f t="shared" si="45"/>
        <v>5.3303987081268309E-2</v>
      </c>
      <c r="AQ111" s="417">
        <f t="shared" si="46"/>
        <v>0.99999999999999989</v>
      </c>
      <c r="AR111" s="1086">
        <f t="shared" si="14"/>
        <v>543.67212223260026</v>
      </c>
      <c r="AS111" s="938">
        <f t="shared" si="15"/>
        <v>689.52333420609659</v>
      </c>
      <c r="AT111" s="938">
        <f t="shared" si="16"/>
        <v>141.61761377016282</v>
      </c>
      <c r="AU111" s="938">
        <f t="shared" si="17"/>
        <v>0</v>
      </c>
      <c r="AV111" s="938">
        <f t="shared" si="18"/>
        <v>0</v>
      </c>
      <c r="AW111" s="938">
        <f t="shared" si="19"/>
        <v>0</v>
      </c>
      <c r="AX111" s="938">
        <f t="shared" si="20"/>
        <v>989.01015060475595</v>
      </c>
      <c r="AY111" s="938">
        <f t="shared" si="21"/>
        <v>79.664233178659885</v>
      </c>
      <c r="AZ111" s="938">
        <f t="shared" si="22"/>
        <v>22.393636876473376</v>
      </c>
      <c r="BA111" s="938">
        <f t="shared" si="23"/>
        <v>57.83840209613961</v>
      </c>
      <c r="BB111" s="938">
        <f t="shared" si="24"/>
        <v>39.407747886093858</v>
      </c>
      <c r="BC111" s="530">
        <f t="shared" si="47"/>
        <v>2563.1272408509826</v>
      </c>
      <c r="BD111" s="724">
        <f t="shared" si="48"/>
        <v>0</v>
      </c>
      <c r="BE111" s="436">
        <f t="shared" si="49"/>
        <v>0.21211281030749607</v>
      </c>
      <c r="BF111" s="624">
        <f t="shared" si="50"/>
        <v>0.26901642775142459</v>
      </c>
      <c r="BG111" s="624">
        <f t="shared" si="51"/>
        <v>5.525188586546504E-2</v>
      </c>
      <c r="BH111" s="624">
        <f t="shared" si="52"/>
        <v>0</v>
      </c>
      <c r="BI111" s="624">
        <f t="shared" si="53"/>
        <v>0</v>
      </c>
      <c r="BJ111" s="624">
        <f t="shared" si="54"/>
        <v>0</v>
      </c>
      <c r="BK111" s="624">
        <f t="shared" si="55"/>
        <v>0.46361887607561419</v>
      </c>
      <c r="BL111" s="624">
        <f t="shared" si="56"/>
        <v>1</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90.018805930502452</v>
      </c>
      <c r="BW111" s="114">
        <f t="shared" si="59"/>
        <v>0.67827419369986763</v>
      </c>
      <c r="BX111" s="1689">
        <f t="shared" si="25"/>
        <v>43.997076132191786</v>
      </c>
      <c r="BY111" s="527">
        <f t="shared" si="60"/>
        <v>90.018805930502452</v>
      </c>
      <c r="BZ111" s="417">
        <f t="shared" si="61"/>
        <v>0.67827419369986763</v>
      </c>
      <c r="CA111" s="544">
        <f t="shared" si="26"/>
        <v>43.997076132191786</v>
      </c>
      <c r="CB111" s="649">
        <f t="shared" si="27"/>
        <v>0.31568192095747505</v>
      </c>
      <c r="CC111" s="525">
        <f t="shared" si="62"/>
        <v>0.32597845323728303</v>
      </c>
      <c r="CD111" s="417">
        <f t="shared" si="28"/>
        <v>0.31568192095747505</v>
      </c>
      <c r="CE111" s="525">
        <f t="shared" si="63"/>
        <v>0.32597845323728303</v>
      </c>
      <c r="CF111"/>
      <c r="CG111" s="527">
        <f t="shared" si="64"/>
        <v>1762.7088547292153</v>
      </c>
      <c r="CH111" s="528">
        <f t="shared" si="65"/>
        <v>776.20734252937109</v>
      </c>
      <c r="CI111" s="528">
        <f t="shared" si="66"/>
        <v>2956.1825860376707</v>
      </c>
      <c r="CJ111" s="528">
        <f t="shared" si="67"/>
        <v>3742.1555946889584</v>
      </c>
      <c r="CK111" s="528">
        <f t="shared" si="68"/>
        <v>45.040471391456826</v>
      </c>
      <c r="CL111" s="528">
        <f t="shared" si="69"/>
        <v>9282.2948493766726</v>
      </c>
      <c r="CM111" s="646">
        <f t="shared" si="70"/>
        <v>0</v>
      </c>
    </row>
    <row r="112" spans="1:91" s="4" customFormat="1">
      <c r="A112" s="150">
        <f>'Input data'!A132</f>
        <v>2032</v>
      </c>
      <c r="B112" s="1506">
        <f>'Input data'!B132</f>
        <v>67.08666821358311</v>
      </c>
      <c r="C112" s="1507">
        <f>'Input data'!C132</f>
        <v>5235.9881649481622</v>
      </c>
      <c r="D112" s="1507">
        <f>'Input data'!D132</f>
        <v>43370376.757557131</v>
      </c>
      <c r="E112" s="1455">
        <f t="shared" ref="E112:E130" si="88">E111</f>
        <v>1</v>
      </c>
      <c r="F112" s="1449">
        <f t="shared" ref="F112:F130" si="89">F111</f>
        <v>0.36725000000000002</v>
      </c>
      <c r="G112" s="1554">
        <f>B112*F112*'Input data'!$C$9</f>
        <v>754.08460571776459</v>
      </c>
      <c r="H112" s="1549">
        <f>'Input data'!I132</f>
        <v>424.26313389388866</v>
      </c>
      <c r="I112" s="1557">
        <f>'Input data'!K132</f>
        <v>28462.400098794296</v>
      </c>
      <c r="J112" s="1557">
        <f>J97*(1-$G$6)</f>
        <v>2228.8062963921584</v>
      </c>
      <c r="K112" s="1511">
        <f t="shared" si="73"/>
        <v>10998.19610701314</v>
      </c>
      <c r="L112" s="1449">
        <f t="shared" ref="L112:P127" si="90">L111</f>
        <v>0.7</v>
      </c>
      <c r="M112" s="1449">
        <f t="shared" si="87"/>
        <v>0.6</v>
      </c>
      <c r="N112" s="1449">
        <f t="shared" si="87"/>
        <v>0.9</v>
      </c>
      <c r="O112" s="1449">
        <f t="shared" si="87"/>
        <v>0.9</v>
      </c>
      <c r="P112" s="1449">
        <f t="shared" si="87"/>
        <v>0.23600000000000002</v>
      </c>
      <c r="Q112" s="1508">
        <f t="shared" si="31"/>
        <v>304.75753559650093</v>
      </c>
      <c r="R112" s="1509">
        <f t="shared" si="32"/>
        <v>212.66928036546119</v>
      </c>
      <c r="S112" s="1509">
        <f t="shared" si="33"/>
        <v>622.78372539272095</v>
      </c>
      <c r="T112" s="1509">
        <f t="shared" si="34"/>
        <v>419.34357413161615</v>
      </c>
      <c r="U112" s="1511">
        <f t="shared" si="35"/>
        <v>0</v>
      </c>
      <c r="V112" s="1509">
        <f t="shared" si="9"/>
        <v>1559.5541154862992</v>
      </c>
      <c r="W112" s="1454">
        <f t="shared" si="86"/>
        <v>0.5</v>
      </c>
      <c r="X112" s="530">
        <f t="shared" si="36"/>
        <v>3033.4854703020706</v>
      </c>
      <c r="Y112" s="528">
        <f t="shared" si="77"/>
        <v>4593.0395857883695</v>
      </c>
      <c r="Z112" s="528">
        <f t="shared" si="78"/>
        <v>8633.9628176169281</v>
      </c>
      <c r="AA112" s="530">
        <f t="shared" si="79"/>
        <v>6405.1565212247697</v>
      </c>
      <c r="AB112" s="1091">
        <f t="shared" si="37"/>
        <v>0.74185593064583821</v>
      </c>
      <c r="AC112" s="135" t="str">
        <f t="shared" si="38"/>
        <v>Yes</v>
      </c>
      <c r="AD112" s="1091">
        <f t="shared" si="39"/>
        <v>0.74185593064583821</v>
      </c>
      <c r="AE112" s="649">
        <f t="shared" si="10"/>
        <v>0.33524737223917422</v>
      </c>
      <c r="AF112" s="530">
        <f t="shared" si="11"/>
        <v>282.03003311800558</v>
      </c>
      <c r="AG112" s="527">
        <f t="shared" si="40"/>
        <v>2228.8062963921584</v>
      </c>
      <c r="AH112" s="528">
        <f t="shared" si="80"/>
        <v>9361.5124753896816</v>
      </c>
      <c r="AI112" s="528">
        <f t="shared" si="81"/>
        <v>6437.6604656145792</v>
      </c>
      <c r="AJ112" s="528">
        <f t="shared" si="12"/>
        <v>892.47602065707667</v>
      </c>
      <c r="AK112" s="528">
        <f t="shared" si="41"/>
        <v>18920.455258053495</v>
      </c>
      <c r="AL112" s="716">
        <f t="shared" si="13"/>
        <v>0</v>
      </c>
      <c r="AM112" s="417">
        <f t="shared" si="42"/>
        <v>0.117798766784085</v>
      </c>
      <c r="AN112" s="417">
        <f t="shared" si="43"/>
        <v>0.49478262270697487</v>
      </c>
      <c r="AO112" s="417">
        <f t="shared" si="44"/>
        <v>0.34024870849100675</v>
      </c>
      <c r="AP112" s="417">
        <f t="shared" si="45"/>
        <v>4.7169902017933425E-2</v>
      </c>
      <c r="AQ112" s="417">
        <f t="shared" si="46"/>
        <v>1</v>
      </c>
      <c r="AR112" s="1086">
        <f t="shared" si="14"/>
        <v>474.28711157023099</v>
      </c>
      <c r="AS112" s="938">
        <f t="shared" si="15"/>
        <v>601.52436950035451</v>
      </c>
      <c r="AT112" s="938">
        <f t="shared" si="16"/>
        <v>122.77650353876473</v>
      </c>
      <c r="AU112" s="938">
        <f t="shared" si="17"/>
        <v>0</v>
      </c>
      <c r="AV112" s="938">
        <f t="shared" si="18"/>
        <v>0</v>
      </c>
      <c r="AW112" s="938">
        <f t="shared" si="19"/>
        <v>0</v>
      </c>
      <c r="AX112" s="938">
        <f t="shared" si="20"/>
        <v>857.43012484780604</v>
      </c>
      <c r="AY112" s="938">
        <f t="shared" si="21"/>
        <v>69.065533208648347</v>
      </c>
      <c r="AZ112" s="938">
        <f t="shared" si="22"/>
        <v>19.414339530337507</v>
      </c>
      <c r="BA112" s="938">
        <f t="shared" si="23"/>
        <v>50.14345737499864</v>
      </c>
      <c r="BB112" s="938">
        <f t="shared" si="24"/>
        <v>34.164856821017388</v>
      </c>
      <c r="BC112" s="530">
        <f t="shared" si="47"/>
        <v>2228.8062963921584</v>
      </c>
      <c r="BD112" s="724">
        <f t="shared" si="48"/>
        <v>0</v>
      </c>
      <c r="BE112" s="436">
        <f t="shared" si="49"/>
        <v>0.21279871307702919</v>
      </c>
      <c r="BF112" s="624">
        <f t="shared" si="50"/>
        <v>0.26988633802500545</v>
      </c>
      <c r="BG112" s="624">
        <f t="shared" si="51"/>
        <v>5.5086215315124989E-2</v>
      </c>
      <c r="BH112" s="624">
        <f t="shared" si="52"/>
        <v>0</v>
      </c>
      <c r="BI112" s="624">
        <f t="shared" si="53"/>
        <v>0</v>
      </c>
      <c r="BJ112" s="624">
        <f t="shared" si="54"/>
        <v>0</v>
      </c>
      <c r="BK112" s="624">
        <f t="shared" si="55"/>
        <v>0.46222873358284033</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89.890519125248531</v>
      </c>
      <c r="BW112" s="114">
        <f t="shared" si="59"/>
        <v>0.68571733008279778</v>
      </c>
      <c r="BX112" s="1689">
        <f t="shared" si="25"/>
        <v>43.370376757557132</v>
      </c>
      <c r="BY112" s="527">
        <f t="shared" si="60"/>
        <v>89.890519125248531</v>
      </c>
      <c r="BZ112" s="417">
        <f t="shared" si="61"/>
        <v>0.68571733008279778</v>
      </c>
      <c r="CA112" s="544">
        <f t="shared" si="26"/>
        <v>43.370376757557132</v>
      </c>
      <c r="CB112" s="649">
        <f t="shared" si="27"/>
        <v>0.33524737223917422</v>
      </c>
      <c r="CC112" s="525">
        <f t="shared" si="62"/>
        <v>0.33276731563826367</v>
      </c>
      <c r="CD112" s="417">
        <f t="shared" si="28"/>
        <v>0.33524737223917422</v>
      </c>
      <c r="CE112" s="525">
        <f t="shared" si="63"/>
        <v>0.33276731563826367</v>
      </c>
      <c r="CF112"/>
      <c r="CG112" s="527">
        <f t="shared" si="64"/>
        <v>1777.7522909795882</v>
      </c>
      <c r="CH112" s="528">
        <f t="shared" si="65"/>
        <v>782.83170686672827</v>
      </c>
      <c r="CI112" s="528">
        <f t="shared" si="66"/>
        <v>2981.4114513481313</v>
      </c>
      <c r="CJ112" s="528">
        <f t="shared" si="67"/>
        <v>3774.0921671845485</v>
      </c>
      <c r="CK112" s="528">
        <f t="shared" si="68"/>
        <v>45.424859010686319</v>
      </c>
      <c r="CL112" s="528">
        <f t="shared" si="69"/>
        <v>9361.5124753896835</v>
      </c>
      <c r="CM112" s="646">
        <f t="shared" si="70"/>
        <v>0</v>
      </c>
    </row>
    <row r="113" spans="1:91">
      <c r="A113" s="873">
        <f>'Input data'!A133</f>
        <v>2033</v>
      </c>
      <c r="B113" s="1551">
        <f>'Input data'!B133</f>
        <v>67.659204065895452</v>
      </c>
      <c r="C113" s="1550">
        <f>'Input data'!C133</f>
        <v>5403.9196893114931</v>
      </c>
      <c r="D113" s="1550">
        <f>'Input data'!D133</f>
        <v>42244930.407056943</v>
      </c>
      <c r="E113" s="1454">
        <f t="shared" si="88"/>
        <v>1</v>
      </c>
      <c r="F113" s="1504">
        <f t="shared" si="89"/>
        <v>0.36725000000000002</v>
      </c>
      <c r="G113" s="1511">
        <f>B113*F113*'Input data'!$C$9</f>
        <v>760.52016860897436</v>
      </c>
      <c r="H113" s="1542">
        <f>'Input data'!I133</f>
        <v>424.26313389388866</v>
      </c>
      <c r="I113" s="1509">
        <f>'Input data'!K133</f>
        <v>28705.305953762938</v>
      </c>
      <c r="J113" s="1509">
        <f>J112</f>
        <v>2228.8062963921584</v>
      </c>
      <c r="K113" s="1511">
        <f t="shared" si="73"/>
        <v>11111.078938971066</v>
      </c>
      <c r="L113" s="1504">
        <f t="shared" si="90"/>
        <v>0.7</v>
      </c>
      <c r="M113" s="1504">
        <f t="shared" si="87"/>
        <v>0.6</v>
      </c>
      <c r="N113" s="1504">
        <f t="shared" si="87"/>
        <v>0.9</v>
      </c>
      <c r="O113" s="1504">
        <f t="shared" si="87"/>
        <v>0.9</v>
      </c>
      <c r="P113" s="1504">
        <f t="shared" si="87"/>
        <v>0.23600000000000002</v>
      </c>
      <c r="Q113" s="1508">
        <f t="shared" si="31"/>
        <v>307.35841920031703</v>
      </c>
      <c r="R113" s="1509">
        <f t="shared" si="32"/>
        <v>214.484257781049</v>
      </c>
      <c r="S113" s="1509">
        <f t="shared" si="33"/>
        <v>628.09873090005567</v>
      </c>
      <c r="T113" s="1509">
        <f t="shared" si="34"/>
        <v>422.92236611846511</v>
      </c>
      <c r="U113" s="1511">
        <f t="shared" si="35"/>
        <v>0</v>
      </c>
      <c r="V113" s="1509">
        <f t="shared" si="9"/>
        <v>1572.8637739998867</v>
      </c>
      <c r="W113" s="1454">
        <f t="shared" si="86"/>
        <v>0.5</v>
      </c>
      <c r="X113" s="530">
        <f t="shared" si="36"/>
        <v>3033.4854703020706</v>
      </c>
      <c r="Y113" s="528">
        <f t="shared" si="77"/>
        <v>4606.3492443019568</v>
      </c>
      <c r="Z113" s="528">
        <f t="shared" si="78"/>
        <v>8733.5359910612679</v>
      </c>
      <c r="AA113" s="530">
        <f t="shared" si="79"/>
        <v>6504.7296946691094</v>
      </c>
      <c r="AB113" s="1091">
        <f t="shared" si="37"/>
        <v>0.74479909412712897</v>
      </c>
      <c r="AC113" s="135" t="str">
        <f t="shared" si="38"/>
        <v>Yes</v>
      </c>
      <c r="AD113" s="1091">
        <f t="shared" si="39"/>
        <v>0.74479909412712897</v>
      </c>
      <c r="AE113" s="649">
        <f t="shared" si="10"/>
        <v>0.33818146943254268</v>
      </c>
      <c r="AF113" s="530">
        <f t="shared" si="11"/>
        <v>280.78520384759781</v>
      </c>
      <c r="AG113" s="527">
        <f t="shared" si="40"/>
        <v>2228.8062963921584</v>
      </c>
      <c r="AH113" s="528">
        <f t="shared" si="80"/>
        <v>9441.4061661445412</v>
      </c>
      <c r="AI113" s="528">
        <f t="shared" si="81"/>
        <v>6437.6604656145792</v>
      </c>
      <c r="AJ113" s="528">
        <f t="shared" si="12"/>
        <v>889.83047765739286</v>
      </c>
      <c r="AK113" s="528">
        <f t="shared" si="41"/>
        <v>18997.703405808672</v>
      </c>
      <c r="AL113" s="716">
        <f t="shared" si="13"/>
        <v>0</v>
      </c>
      <c r="AM113" s="417">
        <f t="shared" si="42"/>
        <v>0.11731977538457024</v>
      </c>
      <c r="AN113" s="417">
        <f t="shared" si="43"/>
        <v>0.49697618519814185</v>
      </c>
      <c r="AO113" s="417">
        <f t="shared" si="44"/>
        <v>0.33886519481329636</v>
      </c>
      <c r="AP113" s="417">
        <f t="shared" si="45"/>
        <v>4.6838844603991521E-2</v>
      </c>
      <c r="AQ113" s="417">
        <f t="shared" si="46"/>
        <v>1</v>
      </c>
      <c r="AR113" s="1086">
        <f t="shared" si="14"/>
        <v>475.79389477735378</v>
      </c>
      <c r="AS113" s="938">
        <f t="shared" si="15"/>
        <v>603.43537824701332</v>
      </c>
      <c r="AT113" s="938">
        <f t="shared" si="16"/>
        <v>122.41256040534195</v>
      </c>
      <c r="AU113" s="938">
        <f t="shared" si="17"/>
        <v>0</v>
      </c>
      <c r="AV113" s="938">
        <f t="shared" si="18"/>
        <v>0</v>
      </c>
      <c r="AW113" s="938">
        <f t="shared" si="19"/>
        <v>0</v>
      </c>
      <c r="AX113" s="938">
        <f t="shared" si="20"/>
        <v>854.88846746765705</v>
      </c>
      <c r="AY113" s="938">
        <f t="shared" si="21"/>
        <v>68.860804080167085</v>
      </c>
      <c r="AZ113" s="938">
        <f t="shared" si="22"/>
        <v>19.356790118533684</v>
      </c>
      <c r="BA113" s="938">
        <f t="shared" si="23"/>
        <v>49.994818454099921</v>
      </c>
      <c r="BB113" s="938">
        <f t="shared" si="24"/>
        <v>34.063582841990474</v>
      </c>
      <c r="BC113" s="530">
        <f t="shared" si="47"/>
        <v>2228.806296392157</v>
      </c>
      <c r="BD113" s="724">
        <f t="shared" si="48"/>
        <v>0</v>
      </c>
      <c r="BE113" s="436">
        <f t="shared" si="49"/>
        <v>0.21347476249844466</v>
      </c>
      <c r="BF113" s="624">
        <f t="shared" si="50"/>
        <v>0.27074375158748171</v>
      </c>
      <c r="BG113" s="624">
        <f t="shared" si="51"/>
        <v>5.492292470794579E-2</v>
      </c>
      <c r="BH113" s="624">
        <f t="shared" si="52"/>
        <v>0</v>
      </c>
      <c r="BI113" s="624">
        <f t="shared" si="53"/>
        <v>0</v>
      </c>
      <c r="BJ113" s="624">
        <f t="shared" si="54"/>
        <v>0</v>
      </c>
      <c r="BK113" s="624">
        <f t="shared" si="55"/>
        <v>0.46085856120612789</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89.703397536551293</v>
      </c>
      <c r="BW113" s="114">
        <f t="shared" si="59"/>
        <v>0.69258951948403003</v>
      </c>
      <c r="BX113" s="1689">
        <f t="shared" si="25"/>
        <v>42.244930407056941</v>
      </c>
      <c r="BY113" s="527">
        <f t="shared" si="60"/>
        <v>89.703397536551293</v>
      </c>
      <c r="BZ113" s="417">
        <f t="shared" si="61"/>
        <v>0.69258951948403003</v>
      </c>
      <c r="CA113" s="544">
        <f t="shared" si="26"/>
        <v>42.244930407056941</v>
      </c>
      <c r="CB113" s="649">
        <f t="shared" si="27"/>
        <v>0.33818146943254268</v>
      </c>
      <c r="CC113" s="525">
        <f t="shared" si="62"/>
        <v>0.34079928228707201</v>
      </c>
      <c r="CD113" s="417">
        <f t="shared" si="28"/>
        <v>0.33818146943254268</v>
      </c>
      <c r="CE113" s="525">
        <f t="shared" si="63"/>
        <v>0.34079928228707201</v>
      </c>
      <c r="CG113" s="527">
        <f t="shared" si="64"/>
        <v>1792.9241120018478</v>
      </c>
      <c r="CH113" s="528">
        <f t="shared" si="65"/>
        <v>789.51260532901495</v>
      </c>
      <c r="CI113" s="528">
        <f t="shared" si="66"/>
        <v>3006.8556266492046</v>
      </c>
      <c r="CJ113" s="528">
        <f t="shared" si="67"/>
        <v>3806.3012950661869</v>
      </c>
      <c r="CK113" s="528">
        <f t="shared" si="68"/>
        <v>45.81252709828685</v>
      </c>
      <c r="CL113" s="528">
        <f t="shared" si="69"/>
        <v>9441.4061661445412</v>
      </c>
      <c r="CM113" s="646">
        <f t="shared" si="70"/>
        <v>0</v>
      </c>
    </row>
    <row r="114" spans="1:91">
      <c r="A114" s="873">
        <f>'Input data'!A134</f>
        <v>2034</v>
      </c>
      <c r="B114" s="1551">
        <f>'Input data'!B134</f>
        <v>68.236626094715163</v>
      </c>
      <c r="C114" s="1550">
        <f>'Input data'!C134</f>
        <v>5610.4237500420486</v>
      </c>
      <c r="D114" s="1550">
        <f>'Input data'!D134</f>
        <v>40465875.003352016</v>
      </c>
      <c r="E114" s="1454">
        <f t="shared" si="88"/>
        <v>1</v>
      </c>
      <c r="F114" s="1504">
        <f t="shared" si="89"/>
        <v>0.36725000000000002</v>
      </c>
      <c r="G114" s="1511">
        <f>B114*F114*'Input data'!$C$9</f>
        <v>767.01065434227985</v>
      </c>
      <c r="H114" s="1542">
        <f>'Input data'!I134</f>
        <v>424.26313389388866</v>
      </c>
      <c r="I114" s="1509">
        <f>'Input data'!K134</f>
        <v>28950.284833289355</v>
      </c>
      <c r="J114" s="1509">
        <f t="shared" ref="J114:J130" si="91">J113</f>
        <v>2228.8062963921584</v>
      </c>
      <c r="K114" s="1511">
        <f t="shared" si="73"/>
        <v>11224.925143684375</v>
      </c>
      <c r="L114" s="1504">
        <f t="shared" si="90"/>
        <v>0.7</v>
      </c>
      <c r="M114" s="1504">
        <f t="shared" si="87"/>
        <v>0.6</v>
      </c>
      <c r="N114" s="1504">
        <f t="shared" si="87"/>
        <v>0.9</v>
      </c>
      <c r="O114" s="1504">
        <f t="shared" si="87"/>
        <v>0.9</v>
      </c>
      <c r="P114" s="1504">
        <f t="shared" si="87"/>
        <v>0.23600000000000002</v>
      </c>
      <c r="Q114" s="1508">
        <f t="shared" si="31"/>
        <v>309.98149945140312</v>
      </c>
      <c r="R114" s="1509">
        <f t="shared" si="32"/>
        <v>216.31472470698566</v>
      </c>
      <c r="S114" s="1509">
        <f t="shared" si="33"/>
        <v>633.45909610834542</v>
      </c>
      <c r="T114" s="1509">
        <f t="shared" si="34"/>
        <v>426.5317004883982</v>
      </c>
      <c r="U114" s="1511">
        <f t="shared" si="35"/>
        <v>0</v>
      </c>
      <c r="V114" s="1509">
        <f t="shared" si="9"/>
        <v>1586.2870207551323</v>
      </c>
      <c r="W114" s="1454">
        <f t="shared" si="86"/>
        <v>0.5</v>
      </c>
      <c r="X114" s="530">
        <f t="shared" si="36"/>
        <v>3033.4854703020706</v>
      </c>
      <c r="Y114" s="528">
        <f t="shared" si="77"/>
        <v>4619.7724910572033</v>
      </c>
      <c r="Z114" s="528">
        <f t="shared" si="78"/>
        <v>8833.9589490193302</v>
      </c>
      <c r="AA114" s="530">
        <f t="shared" si="79"/>
        <v>6605.1526526271718</v>
      </c>
      <c r="AB114" s="1091">
        <f t="shared" si="37"/>
        <v>0.74770017505689435</v>
      </c>
      <c r="AC114" s="135" t="str">
        <f t="shared" si="38"/>
        <v>Yes</v>
      </c>
      <c r="AD114" s="1091">
        <f t="shared" si="39"/>
        <v>0.74770017505689435</v>
      </c>
      <c r="AE114" s="649">
        <f t="shared" si="10"/>
        <v>0.34108865163413971</v>
      </c>
      <c r="AF114" s="530">
        <f t="shared" si="11"/>
        <v>279.5517936159477</v>
      </c>
      <c r="AG114" s="527">
        <f t="shared" si="40"/>
        <v>2228.8062963921584</v>
      </c>
      <c r="AH114" s="528">
        <f t="shared" si="80"/>
        <v>9521.9816913614286</v>
      </c>
      <c r="AI114" s="528">
        <f t="shared" si="81"/>
        <v>6437.6604656145792</v>
      </c>
      <c r="AJ114" s="528">
        <f t="shared" si="12"/>
        <v>887.22276171023486</v>
      </c>
      <c r="AK114" s="528">
        <f t="shared" si="41"/>
        <v>19075.671215078404</v>
      </c>
      <c r="AL114" s="716">
        <f t="shared" si="13"/>
        <v>0</v>
      </c>
      <c r="AM114" s="417">
        <f t="shared" si="42"/>
        <v>0.11684025538406186</v>
      </c>
      <c r="AN114" s="417">
        <f t="shared" si="43"/>
        <v>0.49916889340359138</v>
      </c>
      <c r="AO114" s="417">
        <f t="shared" si="44"/>
        <v>0.33748015433008288</v>
      </c>
      <c r="AP114" s="417">
        <f t="shared" si="45"/>
        <v>4.6510696882263718E-2</v>
      </c>
      <c r="AQ114" s="417">
        <f t="shared" si="46"/>
        <v>0.99999999999999978</v>
      </c>
      <c r="AR114" s="1086">
        <f t="shared" si="14"/>
        <v>477.27913338379346</v>
      </c>
      <c r="AS114" s="938">
        <f t="shared" si="15"/>
        <v>605.31906261140239</v>
      </c>
      <c r="AT114" s="938">
        <f t="shared" si="16"/>
        <v>122.05382107923813</v>
      </c>
      <c r="AU114" s="938">
        <f t="shared" si="17"/>
        <v>0</v>
      </c>
      <c r="AV114" s="938">
        <f t="shared" si="18"/>
        <v>0</v>
      </c>
      <c r="AW114" s="938">
        <f t="shared" si="19"/>
        <v>0</v>
      </c>
      <c r="AX114" s="938">
        <f t="shared" si="20"/>
        <v>852.38315174108629</v>
      </c>
      <c r="AY114" s="938">
        <f t="shared" si="21"/>
        <v>68.659002252242828</v>
      </c>
      <c r="AZ114" s="938">
        <f t="shared" si="22"/>
        <v>19.300063571685364</v>
      </c>
      <c r="BA114" s="938">
        <f t="shared" si="23"/>
        <v>49.848304833099625</v>
      </c>
      <c r="BB114" s="938">
        <f t="shared" si="24"/>
        <v>33.963756919610013</v>
      </c>
      <c r="BC114" s="530">
        <f t="shared" si="47"/>
        <v>2228.8062963921584</v>
      </c>
      <c r="BD114" s="724">
        <f t="shared" si="48"/>
        <v>0</v>
      </c>
      <c r="BE114" s="436">
        <f t="shared" si="49"/>
        <v>0.21414114548957475</v>
      </c>
      <c r="BF114" s="624">
        <f t="shared" si="50"/>
        <v>0.27158890550123271</v>
      </c>
      <c r="BG114" s="624">
        <f t="shared" si="51"/>
        <v>5.4761968896449478E-2</v>
      </c>
      <c r="BH114" s="624">
        <f t="shared" si="52"/>
        <v>0</v>
      </c>
      <c r="BI114" s="624">
        <f t="shared" si="53"/>
        <v>0</v>
      </c>
      <c r="BJ114" s="624">
        <f t="shared" si="54"/>
        <v>0</v>
      </c>
      <c r="BK114" s="624">
        <f t="shared" si="55"/>
        <v>0.45950798011274291</v>
      </c>
      <c r="BL114" s="624">
        <f t="shared" si="56"/>
        <v>0.99999999999999978</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89.061169010269779</v>
      </c>
      <c r="BW114" s="114">
        <f t="shared" si="59"/>
        <v>0.70235814785513706</v>
      </c>
      <c r="BX114" s="1689">
        <f t="shared" si="25"/>
        <v>40.465875003352018</v>
      </c>
      <c r="BY114" s="527">
        <f t="shared" si="60"/>
        <v>89.061169010269779</v>
      </c>
      <c r="BZ114" s="417">
        <f t="shared" si="61"/>
        <v>0.70235814785513706</v>
      </c>
      <c r="CA114" s="544">
        <f t="shared" si="26"/>
        <v>40.465875003352018</v>
      </c>
      <c r="CB114" s="649">
        <f t="shared" si="27"/>
        <v>0.34108865163413971</v>
      </c>
      <c r="CC114" s="525">
        <f t="shared" si="62"/>
        <v>0.35177689426581371</v>
      </c>
      <c r="CD114" s="417">
        <f t="shared" si="28"/>
        <v>0.34108865163413971</v>
      </c>
      <c r="CE114" s="525">
        <f t="shared" si="63"/>
        <v>0.35177689426581371</v>
      </c>
      <c r="CG114" s="527">
        <f t="shared" si="64"/>
        <v>1808.2254134665175</v>
      </c>
      <c r="CH114" s="528">
        <f t="shared" si="65"/>
        <v>796.25052039381262</v>
      </c>
      <c r="CI114" s="528">
        <f t="shared" si="66"/>
        <v>3032.5169494548468</v>
      </c>
      <c r="CJ114" s="528">
        <f t="shared" si="67"/>
        <v>3838.7853043955847</v>
      </c>
      <c r="CK114" s="528">
        <f t="shared" si="68"/>
        <v>46.203503650666732</v>
      </c>
      <c r="CL114" s="528">
        <f t="shared" si="69"/>
        <v>9521.9816913614286</v>
      </c>
      <c r="CM114" s="646">
        <f t="shared" si="70"/>
        <v>0</v>
      </c>
    </row>
    <row r="115" spans="1:91">
      <c r="A115" s="873">
        <f>'Input data'!A135</f>
        <v>2035</v>
      </c>
      <c r="B115" s="1551">
        <f>'Input data'!B135</f>
        <v>68.818976000000006</v>
      </c>
      <c r="C115" s="1550">
        <f>'Input data'!C135</f>
        <v>5785.6697548645852</v>
      </c>
      <c r="D115" s="1550">
        <f>'Input data'!D135</f>
        <v>33374025.316822052</v>
      </c>
      <c r="E115" s="1454">
        <f t="shared" si="88"/>
        <v>1</v>
      </c>
      <c r="F115" s="1504">
        <f t="shared" si="89"/>
        <v>0.36725000000000002</v>
      </c>
      <c r="G115" s="1511">
        <f>B115*F115*'Input data'!$C$9</f>
        <v>773.55653164413684</v>
      </c>
      <c r="H115" s="1542">
        <f>'Input data'!I135</f>
        <v>424.26313389388866</v>
      </c>
      <c r="I115" s="1509">
        <f>'Input data'!K135</f>
        <v>29197.354429128314</v>
      </c>
      <c r="J115" s="1509">
        <f t="shared" si="91"/>
        <v>2228.8062963921584</v>
      </c>
      <c r="K115" s="1511">
        <f t="shared" si="73"/>
        <v>11339.742942837889</v>
      </c>
      <c r="L115" s="1504">
        <f t="shared" si="90"/>
        <v>0.7</v>
      </c>
      <c r="M115" s="1504">
        <f t="shared" si="87"/>
        <v>0.6</v>
      </c>
      <c r="N115" s="1504">
        <f t="shared" si="87"/>
        <v>0.9</v>
      </c>
      <c r="O115" s="1504">
        <f t="shared" si="87"/>
        <v>0.9</v>
      </c>
      <c r="P115" s="1504">
        <f t="shared" si="87"/>
        <v>0.23600000000000002</v>
      </c>
      <c r="Q115" s="1508">
        <f t="shared" si="31"/>
        <v>312.62696578197756</v>
      </c>
      <c r="R115" s="1509">
        <f t="shared" si="32"/>
        <v>218.16081333496061</v>
      </c>
      <c r="S115" s="1509">
        <f t="shared" si="33"/>
        <v>638.86520812960043</v>
      </c>
      <c r="T115" s="1509">
        <f t="shared" si="34"/>
        <v>430.17183789841056</v>
      </c>
      <c r="U115" s="1511">
        <f t="shared" si="35"/>
        <v>0</v>
      </c>
      <c r="V115" s="1509">
        <f t="shared" si="9"/>
        <v>1599.824825144949</v>
      </c>
      <c r="W115" s="1454">
        <f t="shared" si="86"/>
        <v>0.5</v>
      </c>
      <c r="X115" s="530">
        <f t="shared" si="36"/>
        <v>3033.4854703020706</v>
      </c>
      <c r="Y115" s="528">
        <f t="shared" si="77"/>
        <v>4633.3102954470196</v>
      </c>
      <c r="Z115" s="528">
        <f t="shared" si="78"/>
        <v>8935.2389437830279</v>
      </c>
      <c r="AA115" s="530">
        <f t="shared" si="79"/>
        <v>6706.4326473908695</v>
      </c>
      <c r="AB115" s="1091">
        <f t="shared" si="37"/>
        <v>0.75055996706804129</v>
      </c>
      <c r="AC115" s="135" t="str">
        <f t="shared" si="38"/>
        <v>Yes</v>
      </c>
      <c r="AD115" s="1091">
        <f t="shared" si="39"/>
        <v>0.75055996706804129</v>
      </c>
      <c r="AE115" s="649">
        <f t="shared" si="10"/>
        <v>0.34396919974586804</v>
      </c>
      <c r="AF115" s="530">
        <f t="shared" si="11"/>
        <v>278.32968324673374</v>
      </c>
      <c r="AG115" s="527">
        <f t="shared" si="40"/>
        <v>2228.8062963921584</v>
      </c>
      <c r="AH115" s="528">
        <f t="shared" si="80"/>
        <v>9603.2448700008808</v>
      </c>
      <c r="AI115" s="528">
        <f t="shared" si="81"/>
        <v>6437.6604656145792</v>
      </c>
      <c r="AJ115" s="528">
        <f t="shared" si="12"/>
        <v>884.65215943695455</v>
      </c>
      <c r="AK115" s="528">
        <f t="shared" si="41"/>
        <v>19154.363791444572</v>
      </c>
      <c r="AL115" s="716">
        <f t="shared" si="13"/>
        <v>0</v>
      </c>
      <c r="AM115" s="417">
        <f t="shared" si="42"/>
        <v>0.11636023627094678</v>
      </c>
      <c r="AN115" s="417">
        <f t="shared" si="43"/>
        <v>0.50136068075987139</v>
      </c>
      <c r="AO115" s="417">
        <f t="shared" si="44"/>
        <v>0.33609367221531022</v>
      </c>
      <c r="AP115" s="417">
        <f t="shared" si="45"/>
        <v>4.6185410753871683E-2</v>
      </c>
      <c r="AQ115" s="417">
        <f t="shared" si="46"/>
        <v>1.0000000000000002</v>
      </c>
      <c r="AR115" s="1086">
        <f t="shared" si="14"/>
        <v>478.74323369818387</v>
      </c>
      <c r="AS115" s="938">
        <f t="shared" si="15"/>
        <v>607.17593790279147</v>
      </c>
      <c r="AT115" s="938">
        <f t="shared" si="16"/>
        <v>121.70018742208988</v>
      </c>
      <c r="AU115" s="938">
        <f t="shared" si="17"/>
        <v>0</v>
      </c>
      <c r="AV115" s="938">
        <f t="shared" si="18"/>
        <v>0</v>
      </c>
      <c r="AW115" s="938">
        <f t="shared" si="19"/>
        <v>0</v>
      </c>
      <c r="AX115" s="938">
        <f t="shared" si="20"/>
        <v>849.91349230251683</v>
      </c>
      <c r="AY115" s="938">
        <f t="shared" si="21"/>
        <v>68.460072519048694</v>
      </c>
      <c r="AZ115" s="938">
        <f t="shared" si="22"/>
        <v>19.244144371420276</v>
      </c>
      <c r="BA115" s="938">
        <f t="shared" si="23"/>
        <v>49.703876431064366</v>
      </c>
      <c r="BB115" s="938">
        <f t="shared" si="24"/>
        <v>33.86535174504214</v>
      </c>
      <c r="BC115" s="530">
        <f t="shared" si="47"/>
        <v>2228.806296392157</v>
      </c>
      <c r="BD115" s="724">
        <f t="shared" si="48"/>
        <v>0</v>
      </c>
      <c r="BE115" s="436">
        <f t="shared" si="49"/>
        <v>0.21479804434918434</v>
      </c>
      <c r="BF115" s="624">
        <f t="shared" si="50"/>
        <v>0.27242203097041112</v>
      </c>
      <c r="BG115" s="624">
        <f t="shared" si="51"/>
        <v>5.4603303848831559E-2</v>
      </c>
      <c r="BH115" s="624">
        <f t="shared" si="52"/>
        <v>0</v>
      </c>
      <c r="BI115" s="624">
        <f t="shared" si="53"/>
        <v>0</v>
      </c>
      <c r="BJ115" s="624">
        <f t="shared" si="54"/>
        <v>0</v>
      </c>
      <c r="BK115" s="624">
        <f t="shared" si="55"/>
        <v>0.45817662083157323</v>
      </c>
      <c r="BL115" s="624">
        <f t="shared" si="56"/>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82.946593849088401</v>
      </c>
      <c r="BW115" s="114">
        <f t="shared" si="59"/>
        <v>0.73171627123143212</v>
      </c>
      <c r="BX115" s="1689">
        <f t="shared" si="25"/>
        <v>33.374025316822049</v>
      </c>
      <c r="BY115" s="527">
        <f t="shared" si="60"/>
        <v>82.946593849088401</v>
      </c>
      <c r="BZ115" s="417">
        <f t="shared" si="61"/>
        <v>0.73171627123143212</v>
      </c>
      <c r="CA115" s="544">
        <f t="shared" si="26"/>
        <v>33.374025316822049</v>
      </c>
      <c r="CB115" s="649">
        <f t="shared" si="27"/>
        <v>0.34396919974586804</v>
      </c>
      <c r="CC115" s="525">
        <f t="shared" si="62"/>
        <v>0.38054779505581349</v>
      </c>
      <c r="CD115" s="417">
        <f t="shared" si="28"/>
        <v>0.34396919974586804</v>
      </c>
      <c r="CE115" s="525">
        <f t="shared" si="63"/>
        <v>0.38054779505581349</v>
      </c>
      <c r="CG115" s="527">
        <f t="shared" si="64"/>
        <v>1823.6573003948697</v>
      </c>
      <c r="CH115" s="528">
        <f t="shared" si="65"/>
        <v>803.04593865629693</v>
      </c>
      <c r="CI115" s="528">
        <f t="shared" si="66"/>
        <v>3058.3972729608545</v>
      </c>
      <c r="CJ115" s="528">
        <f t="shared" si="67"/>
        <v>3871.5465410856968</v>
      </c>
      <c r="CK115" s="528">
        <f t="shared" si="68"/>
        <v>46.597816903163221</v>
      </c>
      <c r="CL115" s="528">
        <f t="shared" si="69"/>
        <v>9603.244870000879</v>
      </c>
      <c r="CM115" s="646">
        <f t="shared" si="70"/>
        <v>0</v>
      </c>
    </row>
    <row r="116" spans="1:91">
      <c r="A116" s="873">
        <f>'Input data'!A136</f>
        <v>2036</v>
      </c>
      <c r="B116" s="1551">
        <f>'Input data'!B136</f>
        <v>69.322810489383542</v>
      </c>
      <c r="C116" s="1550">
        <f>'Input data'!C136</f>
        <v>5959.8602057408698</v>
      </c>
      <c r="D116" s="1550">
        <f>'Input data'!D136</f>
        <v>24482482.614495005</v>
      </c>
      <c r="E116" s="1454">
        <f t="shared" si="88"/>
        <v>1</v>
      </c>
      <c r="F116" s="1504">
        <f t="shared" si="89"/>
        <v>0.36725000000000002</v>
      </c>
      <c r="G116" s="1511">
        <f>B116*F116*'Input data'!$C$9</f>
        <v>779.21986002801486</v>
      </c>
      <c r="H116" s="1542">
        <f>'Input data'!I136</f>
        <v>424.26313389388866</v>
      </c>
      <c r="I116" s="1509">
        <f>'Input data'!K136</f>
        <v>29411.112828557998</v>
      </c>
      <c r="J116" s="1509">
        <f t="shared" si="91"/>
        <v>2228.8062963921584</v>
      </c>
      <c r="K116" s="1511">
        <f t="shared" si="73"/>
        <v>11439.080414491387</v>
      </c>
      <c r="L116" s="1504">
        <f t="shared" si="90"/>
        <v>0.7</v>
      </c>
      <c r="M116" s="1504">
        <f t="shared" si="87"/>
        <v>0.6</v>
      </c>
      <c r="N116" s="1504">
        <f t="shared" si="87"/>
        <v>0.9</v>
      </c>
      <c r="O116" s="1504">
        <f t="shared" si="87"/>
        <v>0.9</v>
      </c>
      <c r="P116" s="1504">
        <f t="shared" si="87"/>
        <v>0.23600000000000002</v>
      </c>
      <c r="Q116" s="1508">
        <f t="shared" si="31"/>
        <v>314.91575670604311</v>
      </c>
      <c r="R116" s="1509">
        <f t="shared" si="32"/>
        <v>219.75800277861231</v>
      </c>
      <c r="S116" s="1509">
        <f t="shared" si="33"/>
        <v>643.5424402628264</v>
      </c>
      <c r="T116" s="1509">
        <f t="shared" si="34"/>
        <v>433.32119322004019</v>
      </c>
      <c r="U116" s="1511">
        <f t="shared" si="35"/>
        <v>0</v>
      </c>
      <c r="V116" s="1509">
        <f t="shared" si="9"/>
        <v>1611.537392967522</v>
      </c>
      <c r="W116" s="1454">
        <f t="shared" si="86"/>
        <v>0.5</v>
      </c>
      <c r="X116" s="530">
        <f t="shared" si="36"/>
        <v>3033.4854703020706</v>
      </c>
      <c r="Y116" s="528">
        <f t="shared" si="77"/>
        <v>4645.0228632695926</v>
      </c>
      <c r="Z116" s="528">
        <f t="shared" si="78"/>
        <v>9022.8638476139531</v>
      </c>
      <c r="AA116" s="530">
        <f t="shared" si="79"/>
        <v>6794.0575512217947</v>
      </c>
      <c r="AB116" s="1091">
        <f t="shared" si="37"/>
        <v>0.75298238629838643</v>
      </c>
      <c r="AC116" s="135" t="str">
        <f t="shared" si="38"/>
        <v>Yes</v>
      </c>
      <c r="AD116" s="1091">
        <f t="shared" si="39"/>
        <v>0.75298238629838643</v>
      </c>
      <c r="AE116" s="649">
        <f t="shared" si="10"/>
        <v>0.34642074566368197</v>
      </c>
      <c r="AF116" s="530">
        <f t="shared" si="11"/>
        <v>277.28958269275716</v>
      </c>
      <c r="AG116" s="527">
        <f t="shared" si="40"/>
        <v>2228.8062963921584</v>
      </c>
      <c r="AH116" s="528">
        <f t="shared" si="80"/>
        <v>9673.5517280323329</v>
      </c>
      <c r="AI116" s="528">
        <f t="shared" si="81"/>
        <v>6437.6604656145792</v>
      </c>
      <c r="AJ116" s="528">
        <f t="shared" si="12"/>
        <v>882.47470165118193</v>
      </c>
      <c r="AK116" s="528">
        <f t="shared" si="41"/>
        <v>19222.493191690253</v>
      </c>
      <c r="AL116" s="716">
        <f t="shared" si="13"/>
        <v>0</v>
      </c>
      <c r="AM116" s="417">
        <f t="shared" si="42"/>
        <v>0.11594782602683691</v>
      </c>
      <c r="AN116" s="417">
        <f t="shared" si="43"/>
        <v>0.5032412617638039</v>
      </c>
      <c r="AO116" s="417">
        <f t="shared" si="44"/>
        <v>0.33490247084064695</v>
      </c>
      <c r="AP116" s="417">
        <f t="shared" si="45"/>
        <v>4.5908441368712229E-2</v>
      </c>
      <c r="AQ116" s="417">
        <f t="shared" si="46"/>
        <v>1</v>
      </c>
      <c r="AR116" s="1086">
        <f t="shared" si="14"/>
        <v>479.98341646074488</v>
      </c>
      <c r="AS116" s="938">
        <f t="shared" si="15"/>
        <v>608.74882516056437</v>
      </c>
      <c r="AT116" s="938">
        <f t="shared" si="16"/>
        <v>121.4006380254085</v>
      </c>
      <c r="AU116" s="938">
        <f t="shared" si="17"/>
        <v>0</v>
      </c>
      <c r="AV116" s="938">
        <f t="shared" si="18"/>
        <v>0</v>
      </c>
      <c r="AW116" s="938">
        <f t="shared" si="19"/>
        <v>0</v>
      </c>
      <c r="AX116" s="938">
        <f t="shared" si="20"/>
        <v>847.82153928877506</v>
      </c>
      <c r="AY116" s="938">
        <f t="shared" si="21"/>
        <v>68.291566834265154</v>
      </c>
      <c r="AZ116" s="938">
        <f t="shared" si="22"/>
        <v>19.196777379156504</v>
      </c>
      <c r="BA116" s="938">
        <f t="shared" si="23"/>
        <v>49.581536716450756</v>
      </c>
      <c r="BB116" s="938">
        <f t="shared" si="24"/>
        <v>33.781996526792177</v>
      </c>
      <c r="BC116" s="530">
        <f t="shared" si="47"/>
        <v>2228.8062963921579</v>
      </c>
      <c r="BD116" s="724">
        <f t="shared" si="48"/>
        <v>0</v>
      </c>
      <c r="BE116" s="436">
        <f t="shared" si="49"/>
        <v>0.21535447797222657</v>
      </c>
      <c r="BF116" s="624">
        <f t="shared" si="50"/>
        <v>0.27312773934009704</v>
      </c>
      <c r="BG116" s="624">
        <f t="shared" si="51"/>
        <v>5.4468904822246644E-2</v>
      </c>
      <c r="BH116" s="624">
        <f t="shared" si="52"/>
        <v>0</v>
      </c>
      <c r="BI116" s="624">
        <f t="shared" si="53"/>
        <v>0</v>
      </c>
      <c r="BJ116" s="624">
        <f t="shared" si="54"/>
        <v>0</v>
      </c>
      <c r="BK116" s="624">
        <f t="shared" si="55"/>
        <v>0.45704887786542953</v>
      </c>
      <c r="BL116" s="624">
        <f t="shared" si="56"/>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75.016350094586969</v>
      </c>
      <c r="BW116" s="114">
        <f t="shared" si="59"/>
        <v>0.77447188721182603</v>
      </c>
      <c r="BX116" s="1689">
        <f t="shared" si="25"/>
        <v>24.482482614495005</v>
      </c>
      <c r="BY116" s="527">
        <f t="shared" si="60"/>
        <v>75.016350094586969</v>
      </c>
      <c r="BZ116" s="417">
        <f t="shared" si="61"/>
        <v>0.77447188721182603</v>
      </c>
      <c r="CA116" s="544">
        <f t="shared" si="26"/>
        <v>24.482482614495005</v>
      </c>
      <c r="CB116" s="649">
        <f t="shared" si="27"/>
        <v>0.34642074566368197</v>
      </c>
      <c r="CC116" s="525">
        <f t="shared" si="62"/>
        <v>0.41993685193758523</v>
      </c>
      <c r="CD116" s="417">
        <f t="shared" si="28"/>
        <v>0.34642074566368197</v>
      </c>
      <c r="CE116" s="525">
        <f t="shared" si="63"/>
        <v>0.41993685193758523</v>
      </c>
      <c r="CG116" s="527">
        <f t="shared" si="64"/>
        <v>1837.0085807852522</v>
      </c>
      <c r="CH116" s="528">
        <f t="shared" si="65"/>
        <v>808.92516360225397</v>
      </c>
      <c r="CI116" s="528">
        <f t="shared" si="66"/>
        <v>3080.7882778539556</v>
      </c>
      <c r="CJ116" s="528">
        <f t="shared" si="67"/>
        <v>3899.8907389803658</v>
      </c>
      <c r="CK116" s="528">
        <f t="shared" si="68"/>
        <v>46.938966810505526</v>
      </c>
      <c r="CL116" s="528">
        <f t="shared" si="69"/>
        <v>9673.5517280323329</v>
      </c>
      <c r="CM116" s="646">
        <f t="shared" si="70"/>
        <v>0</v>
      </c>
    </row>
    <row r="117" spans="1:91" s="1" customFormat="1">
      <c r="A117" s="873">
        <f>'Input data'!A137</f>
        <v>2037</v>
      </c>
      <c r="B117" s="1551">
        <f>'Input data'!B137</f>
        <v>69.830333629884052</v>
      </c>
      <c r="C117" s="1550">
        <f>'Input data'!C137</f>
        <v>6149.2553125491713</v>
      </c>
      <c r="D117" s="1550">
        <f>'Input data'!D137</f>
        <v>21483552.95875904</v>
      </c>
      <c r="E117" s="1454">
        <f t="shared" si="88"/>
        <v>1</v>
      </c>
      <c r="F117" s="1504">
        <f t="shared" si="89"/>
        <v>0.36725000000000002</v>
      </c>
      <c r="G117" s="1511">
        <f>B117*F117*'Input data'!$C$9</f>
        <v>784.92465052496607</v>
      </c>
      <c r="H117" s="1542">
        <f>'Input data'!I137</f>
        <v>424.26313389388866</v>
      </c>
      <c r="I117" s="1509">
        <f>'Input data'!K137</f>
        <v>29626.436186670413</v>
      </c>
      <c r="J117" s="1509">
        <f t="shared" si="91"/>
        <v>2228.8062963921584</v>
      </c>
      <c r="K117" s="1511">
        <f t="shared" si="73"/>
        <v>11539.145151315281</v>
      </c>
      <c r="L117" s="1504">
        <f t="shared" si="90"/>
        <v>0.7</v>
      </c>
      <c r="M117" s="1504">
        <f t="shared" si="87"/>
        <v>0.6</v>
      </c>
      <c r="N117" s="1504">
        <f t="shared" si="87"/>
        <v>0.9</v>
      </c>
      <c r="O117" s="1504">
        <f t="shared" si="87"/>
        <v>0.9</v>
      </c>
      <c r="P117" s="1504">
        <f>P116</f>
        <v>0.23600000000000002</v>
      </c>
      <c r="Q117" s="1508">
        <f t="shared" si="31"/>
        <v>317.2213042265239</v>
      </c>
      <c r="R117" s="1509">
        <f t="shared" si="32"/>
        <v>221.36688549604628</v>
      </c>
      <c r="S117" s="1509">
        <f t="shared" si="33"/>
        <v>648.25391514420835</v>
      </c>
      <c r="T117" s="1509">
        <f t="shared" si="34"/>
        <v>436.49360546466687</v>
      </c>
      <c r="U117" s="1511">
        <f t="shared" si="35"/>
        <v>0</v>
      </c>
      <c r="V117" s="1509">
        <f t="shared" si="9"/>
        <v>1623.3357103314454</v>
      </c>
      <c r="W117" s="1454">
        <f t="shared" si="86"/>
        <v>0.5</v>
      </c>
      <c r="X117" s="530">
        <f t="shared" si="36"/>
        <v>3033.4854703020706</v>
      </c>
      <c r="Y117" s="528">
        <f t="shared" si="77"/>
        <v>4656.8211806335157</v>
      </c>
      <c r="Z117" s="528">
        <f t="shared" si="78"/>
        <v>9111.1302670739242</v>
      </c>
      <c r="AA117" s="530">
        <f t="shared" si="79"/>
        <v>6882.3239706817658</v>
      </c>
      <c r="AB117" s="1091">
        <f t="shared" si="37"/>
        <v>0.75537543300783594</v>
      </c>
      <c r="AC117" s="135" t="str">
        <f t="shared" si="38"/>
        <v>Yes</v>
      </c>
      <c r="AD117" s="1091">
        <f t="shared" si="39"/>
        <v>0.75537543300783594</v>
      </c>
      <c r="AE117" s="649">
        <f t="shared" si="10"/>
        <v>0.34885304461912336</v>
      </c>
      <c r="AF117" s="530">
        <f t="shared" si="11"/>
        <v>276.25764791535482</v>
      </c>
      <c r="AG117" s="527">
        <f t="shared" si="40"/>
        <v>2228.8062963921584</v>
      </c>
      <c r="AH117" s="528">
        <f t="shared" si="80"/>
        <v>9744.373313570286</v>
      </c>
      <c r="AI117" s="528">
        <f t="shared" si="81"/>
        <v>6437.6604656145792</v>
      </c>
      <c r="AJ117" s="528">
        <f t="shared" si="12"/>
        <v>880.32364615924473</v>
      </c>
      <c r="AK117" s="528">
        <f t="shared" si="41"/>
        <v>19291.16372173627</v>
      </c>
      <c r="AL117" s="716">
        <f t="shared" si="13"/>
        <v>0</v>
      </c>
      <c r="AM117" s="417">
        <f t="shared" si="42"/>
        <v>0.11553508790560191</v>
      </c>
      <c r="AN117" s="417">
        <f t="shared" si="43"/>
        <v>0.50512107274227513</v>
      </c>
      <c r="AO117" s="417">
        <f t="shared" si="44"/>
        <v>0.3337103224291732</v>
      </c>
      <c r="AP117" s="417">
        <f t="shared" si="45"/>
        <v>4.5633516922949667E-2</v>
      </c>
      <c r="AQ117" s="417">
        <f t="shared" si="46"/>
        <v>1</v>
      </c>
      <c r="AR117" s="1086">
        <f t="shared" si="14"/>
        <v>481.20856165522059</v>
      </c>
      <c r="AS117" s="938">
        <f t="shared" si="15"/>
        <v>610.30264071379247</v>
      </c>
      <c r="AT117" s="938">
        <f t="shared" si="16"/>
        <v>121.10472075020429</v>
      </c>
      <c r="AU117" s="938">
        <f t="shared" si="17"/>
        <v>0</v>
      </c>
      <c r="AV117" s="938">
        <f t="shared" si="18"/>
        <v>0</v>
      </c>
      <c r="AW117" s="938">
        <f t="shared" si="19"/>
        <v>0</v>
      </c>
      <c r="AX117" s="938">
        <f t="shared" si="20"/>
        <v>845.75495179923291</v>
      </c>
      <c r="AY117" s="938">
        <f t="shared" si="21"/>
        <v>68.125104328748591</v>
      </c>
      <c r="AZ117" s="938">
        <f t="shared" si="22"/>
        <v>19.149984725121655</v>
      </c>
      <c r="BA117" s="938">
        <f t="shared" si="23"/>
        <v>49.460680405609196</v>
      </c>
      <c r="BB117" s="938">
        <f t="shared" si="24"/>
        <v>33.699652014228135</v>
      </c>
      <c r="BC117" s="530">
        <f t="shared" si="47"/>
        <v>2228.8062963921575</v>
      </c>
      <c r="BD117" s="724">
        <f t="shared" si="48"/>
        <v>0</v>
      </c>
      <c r="BE117" s="436">
        <f t="shared" si="49"/>
        <v>0.21590416467961743</v>
      </c>
      <c r="BF117" s="624">
        <f t="shared" si="50"/>
        <v>0.27382489079544936</v>
      </c>
      <c r="BG117" s="624">
        <f t="shared" si="51"/>
        <v>5.4336135422015146E-2</v>
      </c>
      <c r="BH117" s="624">
        <f t="shared" si="52"/>
        <v>0</v>
      </c>
      <c r="BI117" s="624">
        <f t="shared" si="53"/>
        <v>0</v>
      </c>
      <c r="BJ117" s="624">
        <f t="shared" si="54"/>
        <v>0</v>
      </c>
      <c r="BK117" s="624">
        <f t="shared" si="55"/>
        <v>0.45593480910291823</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73.855032983271357</v>
      </c>
      <c r="BW117" s="114">
        <f t="shared" si="59"/>
        <v>0.78448661759422023</v>
      </c>
      <c r="BX117" s="1689">
        <f t="shared" si="25"/>
        <v>21.483552958759038</v>
      </c>
      <c r="BY117" s="527">
        <f t="shared" si="60"/>
        <v>73.855032983271357</v>
      </c>
      <c r="BZ117" s="417">
        <f t="shared" si="61"/>
        <v>0.78448661759422023</v>
      </c>
      <c r="CA117" s="544">
        <f t="shared" si="26"/>
        <v>21.483552958759038</v>
      </c>
      <c r="CB117" s="649">
        <f t="shared" si="27"/>
        <v>0.34885304461912336</v>
      </c>
      <c r="CC117" s="525">
        <f t="shared" si="62"/>
        <v>0.42844425019755206</v>
      </c>
      <c r="CD117" s="417">
        <f t="shared" si="28"/>
        <v>0.34885304461912336</v>
      </c>
      <c r="CE117" s="525">
        <f t="shared" si="63"/>
        <v>0.42844425019755206</v>
      </c>
      <c r="CG117" s="527">
        <f t="shared" si="64"/>
        <v>1850.4576079880558</v>
      </c>
      <c r="CH117" s="528">
        <f t="shared" si="65"/>
        <v>814.84743127379011</v>
      </c>
      <c r="CI117" s="528">
        <f t="shared" si="66"/>
        <v>3103.3432107967428</v>
      </c>
      <c r="CJ117" s="528">
        <f t="shared" si="67"/>
        <v>3928.4424491820068</v>
      </c>
      <c r="CK117" s="528">
        <f t="shared" si="68"/>
        <v>47.28261432968921</v>
      </c>
      <c r="CL117" s="528">
        <f t="shared" si="69"/>
        <v>9744.373313570286</v>
      </c>
      <c r="CM117" s="646">
        <f t="shared" si="70"/>
        <v>0</v>
      </c>
    </row>
    <row r="118" spans="1:91">
      <c r="A118" s="873">
        <f>'Input data'!A138</f>
        <v>2038</v>
      </c>
      <c r="B118" s="1551">
        <f>'Input data'!B138</f>
        <v>70.341572426693446</v>
      </c>
      <c r="C118" s="1550">
        <f>'Input data'!C138</f>
        <v>6333.0462394281813</v>
      </c>
      <c r="D118" s="1550">
        <f>'Input data'!D138</f>
        <v>18854877.897592288</v>
      </c>
      <c r="E118" s="1454">
        <f t="shared" si="88"/>
        <v>1</v>
      </c>
      <c r="F118" s="1504">
        <f t="shared" si="89"/>
        <v>0.36725000000000002</v>
      </c>
      <c r="G118" s="1511">
        <f>B118*F118*'Input data'!$C$9</f>
        <v>790.67120668560699</v>
      </c>
      <c r="H118" s="1542">
        <f>'Input data'!I138</f>
        <v>424.26313389388866</v>
      </c>
      <c r="I118" s="1509">
        <f>'Input data'!K138</f>
        <v>29843.335960772907</v>
      </c>
      <c r="J118" s="1509">
        <f t="shared" si="91"/>
        <v>2228.8062963921584</v>
      </c>
      <c r="K118" s="1511">
        <f t="shared" si="73"/>
        <v>11639.94247773166</v>
      </c>
      <c r="L118" s="1504">
        <f t="shared" si="90"/>
        <v>0.7</v>
      </c>
      <c r="M118" s="1504">
        <f t="shared" si="87"/>
        <v>0.6</v>
      </c>
      <c r="N118" s="1504">
        <f t="shared" si="87"/>
        <v>0.9</v>
      </c>
      <c r="O118" s="1504">
        <f t="shared" si="87"/>
        <v>0.9</v>
      </c>
      <c r="P118" s="1504">
        <f t="shared" si="87"/>
        <v>0.23600000000000002</v>
      </c>
      <c r="Q118" s="1508">
        <f t="shared" si="31"/>
        <v>319.54373102108343</v>
      </c>
      <c r="R118" s="1509">
        <f t="shared" si="32"/>
        <v>222.9875470955493</v>
      </c>
      <c r="S118" s="1509">
        <f t="shared" si="33"/>
        <v>652.99988347026374</v>
      </c>
      <c r="T118" s="1509">
        <f t="shared" si="34"/>
        <v>439.68924343563094</v>
      </c>
      <c r="U118" s="1511">
        <f t="shared" si="35"/>
        <v>0</v>
      </c>
      <c r="V118" s="1509">
        <f t="shared" si="9"/>
        <v>1635.2204050225273</v>
      </c>
      <c r="W118" s="1454">
        <f t="shared" si="86"/>
        <v>0.5</v>
      </c>
      <c r="X118" s="530">
        <f t="shared" si="36"/>
        <v>3033.4854703020706</v>
      </c>
      <c r="Y118" s="528">
        <f t="shared" si="77"/>
        <v>4668.7058753245983</v>
      </c>
      <c r="Z118" s="528">
        <f t="shared" si="78"/>
        <v>9200.04289879922</v>
      </c>
      <c r="AA118" s="530">
        <f t="shared" si="79"/>
        <v>6971.2366024070616</v>
      </c>
      <c r="AB118" s="1091">
        <f t="shared" si="37"/>
        <v>0.75773957568360251</v>
      </c>
      <c r="AC118" s="135" t="str">
        <f t="shared" si="38"/>
        <v>Yes</v>
      </c>
      <c r="AD118" s="1091">
        <f t="shared" si="39"/>
        <v>0.75773957568360251</v>
      </c>
      <c r="AE118" s="649">
        <f t="shared" si="10"/>
        <v>0.35126626747362921</v>
      </c>
      <c r="AF118" s="530">
        <f t="shared" si="11"/>
        <v>275.23380642431778</v>
      </c>
      <c r="AG118" s="527">
        <f t="shared" si="40"/>
        <v>2228.8062963921584</v>
      </c>
      <c r="AH118" s="528">
        <f t="shared" si="80"/>
        <v>9815.7133950153402</v>
      </c>
      <c r="AI118" s="528">
        <f t="shared" si="81"/>
        <v>6437.6604656145792</v>
      </c>
      <c r="AJ118" s="528">
        <f t="shared" si="12"/>
        <v>878.19857184859723</v>
      </c>
      <c r="AK118" s="528">
        <f t="shared" si="41"/>
        <v>19360.378728870674</v>
      </c>
      <c r="AL118" s="716">
        <f t="shared" si="13"/>
        <v>0</v>
      </c>
      <c r="AM118" s="417">
        <f t="shared" si="42"/>
        <v>0.11512204010082239</v>
      </c>
      <c r="AN118" s="417">
        <f t="shared" si="43"/>
        <v>0.50700007125263036</v>
      </c>
      <c r="AO118" s="417">
        <f t="shared" si="44"/>
        <v>0.33251727953103422</v>
      </c>
      <c r="AP118" s="417">
        <f t="shared" si="45"/>
        <v>4.5360609115513109E-2</v>
      </c>
      <c r="AQ118" s="417">
        <f t="shared" si="46"/>
        <v>1.0000000000000002</v>
      </c>
      <c r="AR118" s="1086">
        <f t="shared" si="14"/>
        <v>482.41890912852034</v>
      </c>
      <c r="AS118" s="938">
        <f t="shared" si="15"/>
        <v>611.83768875324381</v>
      </c>
      <c r="AT118" s="938">
        <f t="shared" si="16"/>
        <v>120.81237766469563</v>
      </c>
      <c r="AU118" s="938">
        <f t="shared" si="17"/>
        <v>0</v>
      </c>
      <c r="AV118" s="938">
        <f t="shared" si="18"/>
        <v>0</v>
      </c>
      <c r="AW118" s="938">
        <f t="shared" si="19"/>
        <v>0</v>
      </c>
      <c r="AX118" s="938">
        <f t="shared" si="20"/>
        <v>843.71332525766161</v>
      </c>
      <c r="AY118" s="938">
        <f t="shared" si="21"/>
        <v>67.960652414102398</v>
      </c>
      <c r="AZ118" s="938">
        <f t="shared" si="22"/>
        <v>19.103757248708586</v>
      </c>
      <c r="BA118" s="938">
        <f t="shared" si="23"/>
        <v>49.341283838476528</v>
      </c>
      <c r="BB118" s="938">
        <f t="shared" si="24"/>
        <v>33.618302086749033</v>
      </c>
      <c r="BC118" s="530">
        <f t="shared" si="47"/>
        <v>2228.8062963921575</v>
      </c>
      <c r="BD118" s="724">
        <f t="shared" si="48"/>
        <v>0</v>
      </c>
      <c r="BE118" s="436">
        <f t="shared" si="49"/>
        <v>0.21644721208362872</v>
      </c>
      <c r="BF118" s="624">
        <f t="shared" si="50"/>
        <v>0.27451362181794159</v>
      </c>
      <c r="BG118" s="624">
        <f t="shared" si="51"/>
        <v>5.4204969655846105E-2</v>
      </c>
      <c r="BH118" s="624">
        <f t="shared" si="52"/>
        <v>0</v>
      </c>
      <c r="BI118" s="624">
        <f t="shared" si="53"/>
        <v>0</v>
      </c>
      <c r="BJ118" s="624">
        <f t="shared" si="54"/>
        <v>0</v>
      </c>
      <c r="BK118" s="624">
        <f t="shared" si="55"/>
        <v>0.45483419644258377</v>
      </c>
      <c r="BL118" s="624">
        <f t="shared" si="56"/>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73.815174395731944</v>
      </c>
      <c r="BW118" s="114">
        <f t="shared" si="59"/>
        <v>0.78437024505850728</v>
      </c>
      <c r="BX118" s="1689">
        <f t="shared" si="25"/>
        <v>18.854877897592289</v>
      </c>
      <c r="BY118" s="527">
        <f t="shared" si="60"/>
        <v>73.815174395731944</v>
      </c>
      <c r="BZ118" s="417">
        <f t="shared" si="61"/>
        <v>0.78437024505850728</v>
      </c>
      <c r="CA118" s="544">
        <f t="shared" si="26"/>
        <v>18.854877897592289</v>
      </c>
      <c r="CB118" s="649">
        <f t="shared" si="27"/>
        <v>0.35126626747362921</v>
      </c>
      <c r="CC118" s="525">
        <f t="shared" si="62"/>
        <v>0.42708137761511178</v>
      </c>
      <c r="CD118" s="417">
        <f t="shared" si="28"/>
        <v>0.35126626747362921</v>
      </c>
      <c r="CE118" s="525">
        <f t="shared" si="63"/>
        <v>0.42708137761511178</v>
      </c>
      <c r="CG118" s="527">
        <f t="shared" si="64"/>
        <v>1864.0050976229863</v>
      </c>
      <c r="CH118" s="528">
        <f t="shared" si="65"/>
        <v>820.81305679343336</v>
      </c>
      <c r="CI118" s="528">
        <f t="shared" si="66"/>
        <v>3126.0632719321143</v>
      </c>
      <c r="CJ118" s="528">
        <f t="shared" si="67"/>
        <v>3957.2031909206844</v>
      </c>
      <c r="CK118" s="528">
        <f t="shared" si="68"/>
        <v>47.628777746121287</v>
      </c>
      <c r="CL118" s="528">
        <f t="shared" si="69"/>
        <v>9815.7133950153402</v>
      </c>
      <c r="CM118" s="646">
        <f t="shared" si="70"/>
        <v>0</v>
      </c>
    </row>
    <row r="119" spans="1:91">
      <c r="A119" s="873">
        <f>'Input data'!A139</f>
        <v>2039</v>
      </c>
      <c r="B119" s="1551">
        <f>'Input data'!B139</f>
        <v>70.856554082712819</v>
      </c>
      <c r="C119" s="1550">
        <f>'Input data'!C139</f>
        <v>6520.8289920741563</v>
      </c>
      <c r="D119" s="1550">
        <f>'Input data'!D139</f>
        <v>16226202.836425532</v>
      </c>
      <c r="E119" s="1454">
        <f t="shared" si="88"/>
        <v>1</v>
      </c>
      <c r="F119" s="1504">
        <f t="shared" si="89"/>
        <v>0.36725000000000002</v>
      </c>
      <c r="G119" s="1511">
        <f>B119*F119*'Input data'!$C$9</f>
        <v>796.45983428289492</v>
      </c>
      <c r="H119" s="1542">
        <f>'Input data'!I139</f>
        <v>424.26313389388866</v>
      </c>
      <c r="I119" s="1509">
        <f>'Input data'!K139</f>
        <v>30061.823692053553</v>
      </c>
      <c r="J119" s="1509">
        <f t="shared" si="91"/>
        <v>2228.8062963921584</v>
      </c>
      <c r="K119" s="1511">
        <f t="shared" si="73"/>
        <v>11741.477757143535</v>
      </c>
      <c r="L119" s="1504">
        <f t="shared" si="90"/>
        <v>0.7</v>
      </c>
      <c r="M119" s="1504">
        <f t="shared" si="87"/>
        <v>0.6</v>
      </c>
      <c r="N119" s="1504">
        <f t="shared" si="87"/>
        <v>0.9</v>
      </c>
      <c r="O119" s="1504">
        <f t="shared" si="87"/>
        <v>0.9</v>
      </c>
      <c r="P119" s="1504">
        <f t="shared" si="87"/>
        <v>0.23600000000000002</v>
      </c>
      <c r="Q119" s="1508">
        <f t="shared" si="31"/>
        <v>321.88316066552784</v>
      </c>
      <c r="R119" s="1509">
        <f t="shared" si="32"/>
        <v>224.62007381215983</v>
      </c>
      <c r="S119" s="1509">
        <f t="shared" si="33"/>
        <v>657.78059777289673</v>
      </c>
      <c r="T119" s="1509">
        <f t="shared" si="34"/>
        <v>442.90827717210823</v>
      </c>
      <c r="U119" s="1511">
        <f t="shared" si="35"/>
        <v>0</v>
      </c>
      <c r="V119" s="1509">
        <f t="shared" si="9"/>
        <v>1647.1921094226927</v>
      </c>
      <c r="W119" s="1454">
        <f t="shared" si="86"/>
        <v>0.5</v>
      </c>
      <c r="X119" s="530">
        <f t="shared" si="36"/>
        <v>3033.4854703020706</v>
      </c>
      <c r="Y119" s="528">
        <f t="shared" si="77"/>
        <v>4680.6775797247628</v>
      </c>
      <c r="Z119" s="528">
        <f t="shared" si="78"/>
        <v>9289.6064738109308</v>
      </c>
      <c r="AA119" s="530">
        <f t="shared" si="79"/>
        <v>7060.8001774187724</v>
      </c>
      <c r="AB119" s="1091">
        <f t="shared" si="37"/>
        <v>0.76007527308335787</v>
      </c>
      <c r="AC119" s="135" t="str">
        <f t="shared" si="38"/>
        <v>Yes</v>
      </c>
      <c r="AD119" s="1091">
        <f t="shared" si="39"/>
        <v>0.76007527308335787</v>
      </c>
      <c r="AE119" s="649">
        <f t="shared" si="10"/>
        <v>0.35366058307858594</v>
      </c>
      <c r="AF119" s="530">
        <f t="shared" si="11"/>
        <v>274.21798658222781</v>
      </c>
      <c r="AG119" s="527">
        <f t="shared" si="40"/>
        <v>2228.8062963921584</v>
      </c>
      <c r="AH119" s="528">
        <f t="shared" si="80"/>
        <v>9887.5757683571446</v>
      </c>
      <c r="AI119" s="528">
        <f t="shared" si="81"/>
        <v>6437.6604656145792</v>
      </c>
      <c r="AJ119" s="528">
        <f t="shared" si="12"/>
        <v>876.09906635235745</v>
      </c>
      <c r="AK119" s="528">
        <f t="shared" si="41"/>
        <v>19430.141596716243</v>
      </c>
      <c r="AL119" s="716">
        <f t="shared" si="13"/>
        <v>0</v>
      </c>
      <c r="AM119" s="417">
        <f t="shared" si="42"/>
        <v>0.11470870066993408</v>
      </c>
      <c r="AN119" s="417">
        <f t="shared" si="43"/>
        <v>0.50887821476443473</v>
      </c>
      <c r="AO119" s="417">
        <f t="shared" si="44"/>
        <v>0.33132339430313595</v>
      </c>
      <c r="AP119" s="417">
        <f t="shared" si="45"/>
        <v>4.5089690262495104E-2</v>
      </c>
      <c r="AQ119" s="417">
        <f t="shared" si="46"/>
        <v>0.99999999999999989</v>
      </c>
      <c r="AR119" s="1086">
        <f t="shared" si="14"/>
        <v>483.61469374641342</v>
      </c>
      <c r="AS119" s="938">
        <f t="shared" si="15"/>
        <v>613.35426715225412</v>
      </c>
      <c r="AT119" s="938">
        <f t="shared" si="16"/>
        <v>120.52355204022797</v>
      </c>
      <c r="AU119" s="938">
        <f t="shared" si="17"/>
        <v>0</v>
      </c>
      <c r="AV119" s="938">
        <f t="shared" si="18"/>
        <v>0</v>
      </c>
      <c r="AW119" s="938">
        <f t="shared" si="19"/>
        <v>0</v>
      </c>
      <c r="AX119" s="938">
        <f t="shared" si="20"/>
        <v>841.69626349007024</v>
      </c>
      <c r="AY119" s="938">
        <f t="shared" si="21"/>
        <v>67.798179178725647</v>
      </c>
      <c r="AZ119" s="938">
        <f t="shared" si="22"/>
        <v>19.058085979558079</v>
      </c>
      <c r="BA119" s="938">
        <f t="shared" si="23"/>
        <v>49.223323846361851</v>
      </c>
      <c r="BB119" s="938">
        <f t="shared" si="24"/>
        <v>33.53793095854644</v>
      </c>
      <c r="BC119" s="530">
        <f t="shared" si="47"/>
        <v>2228.8062963921579</v>
      </c>
      <c r="BD119" s="724">
        <f t="shared" si="48"/>
        <v>0</v>
      </c>
      <c r="BE119" s="436">
        <f t="shared" si="49"/>
        <v>0.21698372556164097</v>
      </c>
      <c r="BF119" s="624">
        <f t="shared" si="50"/>
        <v>0.27519406605460101</v>
      </c>
      <c r="BG119" s="624">
        <f t="shared" si="51"/>
        <v>5.4075382071256443E-2</v>
      </c>
      <c r="BH119" s="624">
        <f t="shared" si="52"/>
        <v>0</v>
      </c>
      <c r="BI119" s="624">
        <f t="shared" si="53"/>
        <v>0</v>
      </c>
      <c r="BJ119" s="624">
        <f t="shared" si="54"/>
        <v>0</v>
      </c>
      <c r="BK119" s="624">
        <f t="shared" si="55"/>
        <v>0.45374682631250146</v>
      </c>
      <c r="BL119" s="624">
        <f t="shared" si="56"/>
        <v>0.99999999999999978</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73.796331939100853</v>
      </c>
      <c r="BW119" s="114">
        <f t="shared" si="59"/>
        <v>0.78431518819864565</v>
      </c>
      <c r="BX119" s="1689">
        <f t="shared" si="25"/>
        <v>16.226202836425532</v>
      </c>
      <c r="BY119" s="527">
        <f t="shared" si="60"/>
        <v>73.796331939100853</v>
      </c>
      <c r="BZ119" s="417">
        <f t="shared" si="61"/>
        <v>0.78431518819864565</v>
      </c>
      <c r="CA119" s="544">
        <f t="shared" si="26"/>
        <v>16.226202836425532</v>
      </c>
      <c r="CB119" s="649">
        <f t="shared" si="27"/>
        <v>0.35366058307858594</v>
      </c>
      <c r="CC119" s="525">
        <f t="shared" si="62"/>
        <v>0.42578160420669942</v>
      </c>
      <c r="CD119" s="417">
        <f t="shared" si="28"/>
        <v>0.35366058307858594</v>
      </c>
      <c r="CE119" s="525">
        <f t="shared" si="63"/>
        <v>0.42578160420669942</v>
      </c>
      <c r="CG119" s="527">
        <f t="shared" si="64"/>
        <v>1877.6517705489127</v>
      </c>
      <c r="CH119" s="528">
        <f t="shared" si="65"/>
        <v>826.82235759077241</v>
      </c>
      <c r="CI119" s="528">
        <f t="shared" si="66"/>
        <v>3148.9496701893991</v>
      </c>
      <c r="CJ119" s="528">
        <f t="shared" si="67"/>
        <v>3986.17449454898</v>
      </c>
      <c r="CK119" s="528">
        <f t="shared" si="68"/>
        <v>47.977475479079111</v>
      </c>
      <c r="CL119" s="528">
        <f t="shared" si="69"/>
        <v>9887.5757683571446</v>
      </c>
      <c r="CM119" s="646">
        <f t="shared" si="70"/>
        <v>0</v>
      </c>
    </row>
    <row r="120" spans="1:91">
      <c r="A120" s="873">
        <f>'Input data'!A140</f>
        <v>2040</v>
      </c>
      <c r="B120" s="1551">
        <f>'Input data'!B140</f>
        <v>71.375305999999995</v>
      </c>
      <c r="C120" s="1550">
        <f>'Input data'!C140</f>
        <v>6710.9821193375428</v>
      </c>
      <c r="D120" s="1550">
        <f>'Input data'!D140</f>
        <v>13597527.775258772</v>
      </c>
      <c r="E120" s="1454">
        <f t="shared" si="88"/>
        <v>1</v>
      </c>
      <c r="F120" s="1504">
        <f t="shared" si="89"/>
        <v>0.36725000000000002</v>
      </c>
      <c r="G120" s="1511">
        <f>B120*F120*'Input data'!$C$9</f>
        <v>802.29084132839955</v>
      </c>
      <c r="H120" s="1542">
        <f>'Input data'!I140</f>
        <v>424.26313389388866</v>
      </c>
      <c r="I120" s="1509">
        <f>'Input data'!K140</f>
        <v>30281.911006195274</v>
      </c>
      <c r="J120" s="1509">
        <f t="shared" si="91"/>
        <v>2228.8062963921584</v>
      </c>
      <c r="K120" s="1511">
        <f t="shared" si="73"/>
        <v>11843.756392220233</v>
      </c>
      <c r="L120" s="1504">
        <f t="shared" si="90"/>
        <v>0.7</v>
      </c>
      <c r="M120" s="1504">
        <f t="shared" si="87"/>
        <v>0.6</v>
      </c>
      <c r="N120" s="1504">
        <f t="shared" si="87"/>
        <v>0.9</v>
      </c>
      <c r="O120" s="1504">
        <f t="shared" si="87"/>
        <v>0.9</v>
      </c>
      <c r="P120" s="1504">
        <f t="shared" si="87"/>
        <v>0.23600000000000002</v>
      </c>
      <c r="Q120" s="1508">
        <f t="shared" si="31"/>
        <v>324.23971764038129</v>
      </c>
      <c r="R120" s="1509">
        <f t="shared" si="32"/>
        <v>226.26455251225605</v>
      </c>
      <c r="S120" s="1509">
        <f t="shared" si="33"/>
        <v>662.59631243283684</v>
      </c>
      <c r="T120" s="1509">
        <f t="shared" si="34"/>
        <v>446.15087795815862</v>
      </c>
      <c r="U120" s="1511">
        <f t="shared" si="35"/>
        <v>0</v>
      </c>
      <c r="V120" s="1509">
        <f t="shared" si="9"/>
        <v>1659.2514605436327</v>
      </c>
      <c r="W120" s="1454">
        <f t="shared" si="86"/>
        <v>0.5</v>
      </c>
      <c r="X120" s="530">
        <f t="shared" si="36"/>
        <v>3033.4854703020706</v>
      </c>
      <c r="Y120" s="528">
        <f t="shared" si="77"/>
        <v>4692.7369308457037</v>
      </c>
      <c r="Z120" s="528">
        <f t="shared" si="78"/>
        <v>9379.8257577666882</v>
      </c>
      <c r="AA120" s="530">
        <f t="shared" si="79"/>
        <v>7151.0194613745298</v>
      </c>
      <c r="AB120" s="1091">
        <f t="shared" si="37"/>
        <v>0.762382974486849</v>
      </c>
      <c r="AC120" s="135" t="str">
        <f t="shared" si="38"/>
        <v>Yes</v>
      </c>
      <c r="AD120" s="1091">
        <f t="shared" si="39"/>
        <v>0.762382974486849</v>
      </c>
      <c r="AE120" s="649">
        <f t="shared" si="10"/>
        <v>0.3560361583119136</v>
      </c>
      <c r="AF120" s="530">
        <f t="shared" si="11"/>
        <v>273.21011758893553</v>
      </c>
      <c r="AG120" s="527">
        <f t="shared" si="40"/>
        <v>2228.8062963921584</v>
      </c>
      <c r="AH120" s="528">
        <f t="shared" si="80"/>
        <v>9959.9642573763813</v>
      </c>
      <c r="AI120" s="528">
        <f t="shared" si="81"/>
        <v>6437.6604656145792</v>
      </c>
      <c r="AJ120" s="528">
        <f t="shared" si="12"/>
        <v>874.0247258231359</v>
      </c>
      <c r="AK120" s="528">
        <f t="shared" si="41"/>
        <v>19500.455745206255</v>
      </c>
      <c r="AL120" s="716">
        <f t="shared" si="13"/>
        <v>0</v>
      </c>
      <c r="AM120" s="417">
        <f t="shared" si="42"/>
        <v>0.11429508753609822</v>
      </c>
      <c r="AN120" s="417">
        <f t="shared" si="43"/>
        <v>0.51075546066787758</v>
      </c>
      <c r="AO120" s="417">
        <f t="shared" si="44"/>
        <v>0.33012871851454711</v>
      </c>
      <c r="AP120" s="417">
        <f t="shared" si="45"/>
        <v>4.4820733281477031E-2</v>
      </c>
      <c r="AQ120" s="417">
        <f t="shared" si="46"/>
        <v>0.99999999999999989</v>
      </c>
      <c r="AR120" s="1086">
        <f t="shared" si="14"/>
        <v>484.79614552234727</v>
      </c>
      <c r="AS120" s="938">
        <f t="shared" si="15"/>
        <v>614.85266763010145</v>
      </c>
      <c r="AT120" s="938">
        <f t="shared" si="16"/>
        <v>120.23818832015957</v>
      </c>
      <c r="AU120" s="938">
        <f t="shared" si="17"/>
        <v>0</v>
      </c>
      <c r="AV120" s="938">
        <f t="shared" si="18"/>
        <v>0</v>
      </c>
      <c r="AW120" s="938">
        <f t="shared" si="19"/>
        <v>0</v>
      </c>
      <c r="AX120" s="938">
        <f t="shared" si="20"/>
        <v>839.70337850741521</v>
      </c>
      <c r="AY120" s="938">
        <f t="shared" si="21"/>
        <v>67.637653370310673</v>
      </c>
      <c r="AZ120" s="938">
        <f t="shared" si="22"/>
        <v>19.012962132638233</v>
      </c>
      <c r="BA120" s="938">
        <f t="shared" si="23"/>
        <v>49.10677773923868</v>
      </c>
      <c r="BB120" s="938">
        <f t="shared" si="24"/>
        <v>33.45852316994646</v>
      </c>
      <c r="BC120" s="530">
        <f t="shared" si="47"/>
        <v>2228.8062963921575</v>
      </c>
      <c r="BD120" s="724">
        <f t="shared" si="48"/>
        <v>0</v>
      </c>
      <c r="BE120" s="436">
        <f t="shared" si="49"/>
        <v>0.21751380831394043</v>
      </c>
      <c r="BF120" s="624">
        <f t="shared" si="50"/>
        <v>0.27586635439130974</v>
      </c>
      <c r="BG120" s="624">
        <f t="shared" si="51"/>
        <v>5.3947347741610877E-2</v>
      </c>
      <c r="BH120" s="624">
        <f t="shared" si="52"/>
        <v>0</v>
      </c>
      <c r="BI120" s="624">
        <f t="shared" si="53"/>
        <v>0</v>
      </c>
      <c r="BJ120" s="624">
        <f t="shared" si="54"/>
        <v>0</v>
      </c>
      <c r="BK120" s="624">
        <f t="shared" si="55"/>
        <v>0.45267248955313899</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73.790194967974287</v>
      </c>
      <c r="BW120" s="114">
        <f t="shared" si="59"/>
        <v>0.78429725015873353</v>
      </c>
      <c r="BX120" s="1689">
        <f t="shared" si="25"/>
        <v>13.597527775258772</v>
      </c>
      <c r="BY120" s="527">
        <f t="shared" si="60"/>
        <v>73.790194967974287</v>
      </c>
      <c r="BZ120" s="417">
        <f t="shared" si="61"/>
        <v>0.78429725015873353</v>
      </c>
      <c r="CA120" s="544">
        <f t="shared" si="26"/>
        <v>13.597527775258772</v>
      </c>
      <c r="CB120" s="649">
        <f t="shared" si="27"/>
        <v>0.3560361583119136</v>
      </c>
      <c r="CC120" s="525">
        <f t="shared" si="62"/>
        <v>0.42451679099375317</v>
      </c>
      <c r="CD120" s="417">
        <f t="shared" si="28"/>
        <v>0.3560361583119136</v>
      </c>
      <c r="CE120" s="525">
        <f t="shared" si="63"/>
        <v>0.42451679099375317</v>
      </c>
      <c r="CG120" s="527">
        <f t="shared" si="64"/>
        <v>1891.3983529022248</v>
      </c>
      <c r="CH120" s="528">
        <f t="shared" si="65"/>
        <v>832.87565341934783</v>
      </c>
      <c r="CI120" s="528">
        <f t="shared" si="66"/>
        <v>3172.003623348689</v>
      </c>
      <c r="CJ120" s="528">
        <f t="shared" si="67"/>
        <v>4015.3579016234294</v>
      </c>
      <c r="CK120" s="528">
        <f t="shared" si="68"/>
        <v>48.328726082690423</v>
      </c>
      <c r="CL120" s="528">
        <f t="shared" si="69"/>
        <v>9959.9642573763813</v>
      </c>
      <c r="CM120" s="646">
        <f t="shared" si="70"/>
        <v>0</v>
      </c>
    </row>
    <row r="121" spans="1:91">
      <c r="A121" s="873">
        <f>'Input data'!A141</f>
        <v>2041</v>
      </c>
      <c r="B121" s="1551">
        <f>'Input data'!B141</f>
        <v>71.818612994947316</v>
      </c>
      <c r="C121" s="1550">
        <f>'Input data'!C141</f>
        <v>6920.8570404241891</v>
      </c>
      <c r="D121" s="1550">
        <f>'Input data'!D141</f>
        <v>11135124.826855309</v>
      </c>
      <c r="E121" s="1454">
        <f t="shared" si="88"/>
        <v>1</v>
      </c>
      <c r="F121" s="1504">
        <f t="shared" si="89"/>
        <v>0.36725000000000002</v>
      </c>
      <c r="G121" s="1511">
        <f>B121*F121*'Input data'!$C$9</f>
        <v>807.27381319745268</v>
      </c>
      <c r="H121" s="1542">
        <f>'Input data'!I141</f>
        <v>424.26313389388866</v>
      </c>
      <c r="I121" s="1509">
        <f>'Input data'!K141</f>
        <v>30469.989821148705</v>
      </c>
      <c r="J121" s="1509">
        <f t="shared" si="91"/>
        <v>2228.8062963921584</v>
      </c>
      <c r="K121" s="1511">
        <f t="shared" si="73"/>
        <v>11931.16008722781</v>
      </c>
      <c r="L121" s="1504">
        <f t="shared" si="90"/>
        <v>0.7</v>
      </c>
      <c r="M121" s="1504">
        <f t="shared" si="87"/>
        <v>0.6</v>
      </c>
      <c r="N121" s="1504">
        <f t="shared" si="87"/>
        <v>0.9</v>
      </c>
      <c r="O121" s="1504">
        <f t="shared" si="87"/>
        <v>0.9</v>
      </c>
      <c r="P121" s="1504">
        <f t="shared" si="87"/>
        <v>0.23600000000000002</v>
      </c>
      <c r="Q121" s="1508">
        <f t="shared" si="31"/>
        <v>326.25354767383487</v>
      </c>
      <c r="R121" s="1509">
        <f t="shared" si="32"/>
        <v>227.6698657005079</v>
      </c>
      <c r="S121" s="1509">
        <f t="shared" si="33"/>
        <v>666.71165142876089</v>
      </c>
      <c r="T121" s="1509">
        <f t="shared" si="34"/>
        <v>448.92188961589818</v>
      </c>
      <c r="U121" s="1511">
        <f t="shared" si="35"/>
        <v>0</v>
      </c>
      <c r="V121" s="1509">
        <f t="shared" si="9"/>
        <v>1669.5569544190018</v>
      </c>
      <c r="W121" s="1454">
        <f t="shared" si="86"/>
        <v>0.5</v>
      </c>
      <c r="X121" s="530">
        <f t="shared" si="36"/>
        <v>3033.4854703020706</v>
      </c>
      <c r="Y121" s="528">
        <f t="shared" si="77"/>
        <v>4703.0424247210722</v>
      </c>
      <c r="Z121" s="528">
        <f t="shared" si="78"/>
        <v>9456.9239588988967</v>
      </c>
      <c r="AA121" s="530">
        <f t="shared" si="79"/>
        <v>7228.1176625067383</v>
      </c>
      <c r="AB121" s="1091">
        <f t="shared" si="37"/>
        <v>0.76432016308063178</v>
      </c>
      <c r="AC121" s="135" t="str">
        <f t="shared" si="38"/>
        <v>Yes</v>
      </c>
      <c r="AD121" s="1091">
        <f t="shared" si="39"/>
        <v>0.76432016308063178</v>
      </c>
      <c r="AE121" s="649">
        <f t="shared" si="10"/>
        <v>0.35803801704304605</v>
      </c>
      <c r="AF121" s="530">
        <f t="shared" si="11"/>
        <v>272.36080273005246</v>
      </c>
      <c r="AG121" s="527">
        <f t="shared" si="40"/>
        <v>2228.8062963921584</v>
      </c>
      <c r="AH121" s="528">
        <f t="shared" si="80"/>
        <v>10021.82489338851</v>
      </c>
      <c r="AI121" s="528">
        <f t="shared" si="81"/>
        <v>6437.6604656145792</v>
      </c>
      <c r="AJ121" s="528">
        <f t="shared" si="12"/>
        <v>872.2834308675798</v>
      </c>
      <c r="AK121" s="528">
        <f t="shared" si="41"/>
        <v>19560.575086262827</v>
      </c>
      <c r="AL121" s="716">
        <f t="shared" si="13"/>
        <v>0</v>
      </c>
      <c r="AM121" s="417">
        <f t="shared" si="42"/>
        <v>0.11394380208981811</v>
      </c>
      <c r="AN121" s="417">
        <f t="shared" si="43"/>
        <v>0.51234817223889928</v>
      </c>
      <c r="AO121" s="417">
        <f t="shared" si="44"/>
        <v>0.32911406935758636</v>
      </c>
      <c r="AP121" s="417">
        <f t="shared" si="45"/>
        <v>4.4593956313696254E-2</v>
      </c>
      <c r="AQ121" s="417">
        <f t="shared" si="46"/>
        <v>1</v>
      </c>
      <c r="AR121" s="1086">
        <f t="shared" si="14"/>
        <v>485.78790940522276</v>
      </c>
      <c r="AS121" s="938">
        <f t="shared" si="15"/>
        <v>616.11049254203056</v>
      </c>
      <c r="AT121" s="938">
        <f t="shared" si="16"/>
        <v>119.9986411487795</v>
      </c>
      <c r="AU121" s="938">
        <f t="shared" si="17"/>
        <v>0</v>
      </c>
      <c r="AV121" s="938">
        <f t="shared" si="18"/>
        <v>0</v>
      </c>
      <c r="AW121" s="938">
        <f t="shared" si="19"/>
        <v>0</v>
      </c>
      <c r="AX121" s="938">
        <f t="shared" si="20"/>
        <v>838.03046100982215</v>
      </c>
      <c r="AY121" s="938">
        <f t="shared" si="21"/>
        <v>67.502900769909758</v>
      </c>
      <c r="AZ121" s="938">
        <f t="shared" si="22"/>
        <v>18.975083141262264</v>
      </c>
      <c r="BA121" s="938">
        <f t="shared" si="23"/>
        <v>49.008943682793195</v>
      </c>
      <c r="BB121" s="938">
        <f t="shared" si="24"/>
        <v>33.391864692337244</v>
      </c>
      <c r="BC121" s="530">
        <f t="shared" si="47"/>
        <v>2228.8062963921575</v>
      </c>
      <c r="BD121" s="724">
        <f t="shared" si="48"/>
        <v>0</v>
      </c>
      <c r="BE121" s="436">
        <f t="shared" si="49"/>
        <v>0.21795878367338772</v>
      </c>
      <c r="BF121" s="624">
        <f t="shared" si="50"/>
        <v>0.27643070352921606</v>
      </c>
      <c r="BG121" s="624">
        <f t="shared" si="51"/>
        <v>5.3839869953268379E-2</v>
      </c>
      <c r="BH121" s="624">
        <f t="shared" si="52"/>
        <v>0</v>
      </c>
      <c r="BI121" s="624">
        <f t="shared" si="53"/>
        <v>0</v>
      </c>
      <c r="BJ121" s="624">
        <f t="shared" si="54"/>
        <v>0</v>
      </c>
      <c r="BK121" s="624">
        <f t="shared" si="55"/>
        <v>0.45177064284412777</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73.941496439318925</v>
      </c>
      <c r="BW121" s="114">
        <f t="shared" si="59"/>
        <v>0.784738628072296</v>
      </c>
      <c r="BX121" s="1689">
        <f t="shared" si="25"/>
        <v>11.135124826855309</v>
      </c>
      <c r="BY121" s="527">
        <f t="shared" si="60"/>
        <v>73.941496439318925</v>
      </c>
      <c r="BZ121" s="417">
        <f t="shared" si="61"/>
        <v>0.784738628072296</v>
      </c>
      <c r="CA121" s="544">
        <f t="shared" si="26"/>
        <v>11.135124826855309</v>
      </c>
      <c r="CB121" s="649">
        <f t="shared" si="27"/>
        <v>0.35803801704304605</v>
      </c>
      <c r="CC121" s="525">
        <f t="shared" si="62"/>
        <v>0.42393257563141884</v>
      </c>
      <c r="CD121" s="417">
        <f t="shared" si="28"/>
        <v>0.35803801704304605</v>
      </c>
      <c r="CE121" s="525">
        <f t="shared" si="63"/>
        <v>0.42393257563141884</v>
      </c>
      <c r="CG121" s="527">
        <f t="shared" si="64"/>
        <v>1903.1456947640361</v>
      </c>
      <c r="CH121" s="528">
        <f t="shared" si="65"/>
        <v>838.04858540064276</v>
      </c>
      <c r="CI121" s="528">
        <f t="shared" si="66"/>
        <v>3191.7047142866213</v>
      </c>
      <c r="CJ121" s="528">
        <f t="shared" si="67"/>
        <v>4040.2970065430868</v>
      </c>
      <c r="CK121" s="528">
        <f t="shared" si="68"/>
        <v>48.628892394122417</v>
      </c>
      <c r="CL121" s="528">
        <f t="shared" si="69"/>
        <v>10021.82489338851</v>
      </c>
      <c r="CM121" s="646">
        <f t="shared" si="70"/>
        <v>0</v>
      </c>
    </row>
    <row r="122" spans="1:91">
      <c r="A122" s="873">
        <f>'Input data'!A142</f>
        <v>2042</v>
      </c>
      <c r="B122" s="1551">
        <f>'Input data'!B142</f>
        <v>72.264673338395411</v>
      </c>
      <c r="C122" s="1550">
        <f>'Input data'!C142</f>
        <v>7114.4180841945599</v>
      </c>
      <c r="D122" s="1550">
        <f>'Input data'!D142</f>
        <v>8672721.8784518428</v>
      </c>
      <c r="E122" s="1454">
        <f t="shared" si="88"/>
        <v>1</v>
      </c>
      <c r="F122" s="1504">
        <f t="shared" si="89"/>
        <v>0.36725000000000002</v>
      </c>
      <c r="G122" s="1511">
        <f>B122*F122*'Input data'!$C$9</f>
        <v>812.28773395357814</v>
      </c>
      <c r="H122" s="1542">
        <f>'Input data'!I142</f>
        <v>424.26313389388866</v>
      </c>
      <c r="I122" s="1509">
        <f>'Input data'!K142</f>
        <v>30659.23678036578</v>
      </c>
      <c r="J122" s="1509">
        <f t="shared" si="91"/>
        <v>2228.8062963921584</v>
      </c>
      <c r="K122" s="1511">
        <f t="shared" si="73"/>
        <v>12019.106640424758</v>
      </c>
      <c r="L122" s="1504">
        <f t="shared" si="90"/>
        <v>0.7</v>
      </c>
      <c r="M122" s="1504">
        <f t="shared" si="87"/>
        <v>0.6</v>
      </c>
      <c r="N122" s="1504">
        <f t="shared" si="87"/>
        <v>0.9</v>
      </c>
      <c r="O122" s="1504">
        <f t="shared" si="87"/>
        <v>0.9</v>
      </c>
      <c r="P122" s="1504">
        <f t="shared" si="87"/>
        <v>0.23600000000000002</v>
      </c>
      <c r="Q122" s="1508">
        <f t="shared" si="31"/>
        <v>328.27988546368874</v>
      </c>
      <c r="R122" s="1509">
        <f t="shared" si="32"/>
        <v>229.08390718992371</v>
      </c>
      <c r="S122" s="1509">
        <f t="shared" si="33"/>
        <v>670.85255050513388</v>
      </c>
      <c r="T122" s="1509">
        <f t="shared" si="34"/>
        <v>451.7101118317396</v>
      </c>
      <c r="U122" s="1511">
        <f t="shared" si="35"/>
        <v>0</v>
      </c>
      <c r="V122" s="1509">
        <f t="shared" si="9"/>
        <v>1679.926454990486</v>
      </c>
      <c r="W122" s="1454">
        <f t="shared" si="86"/>
        <v>0.5</v>
      </c>
      <c r="X122" s="530">
        <f t="shared" si="36"/>
        <v>3033.4854703020706</v>
      </c>
      <c r="Y122" s="528">
        <f t="shared" si="77"/>
        <v>4713.4119252925566</v>
      </c>
      <c r="Z122" s="528">
        <f t="shared" si="78"/>
        <v>9534.5010115243604</v>
      </c>
      <c r="AA122" s="530">
        <f t="shared" si="79"/>
        <v>7305.694715132202</v>
      </c>
      <c r="AB122" s="1091">
        <f t="shared" si="37"/>
        <v>0.76623776181908232</v>
      </c>
      <c r="AC122" s="135" t="str">
        <f t="shared" si="38"/>
        <v>Yes</v>
      </c>
      <c r="AD122" s="1091">
        <f t="shared" si="39"/>
        <v>0.76623776181908232</v>
      </c>
      <c r="AE122" s="649">
        <f t="shared" si="10"/>
        <v>0.36002659202487586</v>
      </c>
      <c r="AF122" s="530">
        <f t="shared" si="11"/>
        <v>271.51712367627835</v>
      </c>
      <c r="AG122" s="527">
        <f t="shared" si="40"/>
        <v>2228.8062963921584</v>
      </c>
      <c r="AH122" s="528">
        <f t="shared" si="80"/>
        <v>10084.069741450892</v>
      </c>
      <c r="AI122" s="528">
        <f t="shared" si="81"/>
        <v>6437.6604656145792</v>
      </c>
      <c r="AJ122" s="528">
        <f t="shared" si="12"/>
        <v>870.55974478933149</v>
      </c>
      <c r="AK122" s="528">
        <f t="shared" si="41"/>
        <v>19621.096248246962</v>
      </c>
      <c r="AL122" s="716">
        <f t="shared" si="13"/>
        <v>0</v>
      </c>
      <c r="AM122" s="417">
        <f t="shared" si="42"/>
        <v>0.11359234306754344</v>
      </c>
      <c r="AN122" s="417">
        <f t="shared" si="43"/>
        <v>0.51394018019517385</v>
      </c>
      <c r="AO122" s="417">
        <f t="shared" si="44"/>
        <v>0.32809891884556391</v>
      </c>
      <c r="AP122" s="417">
        <f t="shared" si="45"/>
        <v>4.4368557891718778E-2</v>
      </c>
      <c r="AQ122" s="417">
        <f t="shared" si="46"/>
        <v>1</v>
      </c>
      <c r="AR122" s="1086">
        <f t="shared" si="14"/>
        <v>486.76964405756706</v>
      </c>
      <c r="AS122" s="938">
        <f t="shared" si="15"/>
        <v>617.35559767637187</v>
      </c>
      <c r="AT122" s="938">
        <f t="shared" si="16"/>
        <v>119.76151640258189</v>
      </c>
      <c r="AU122" s="938">
        <f t="shared" si="17"/>
        <v>0</v>
      </c>
      <c r="AV122" s="938">
        <f t="shared" si="18"/>
        <v>0</v>
      </c>
      <c r="AW122" s="938">
        <f t="shared" si="19"/>
        <v>0</v>
      </c>
      <c r="AX122" s="938">
        <f t="shared" si="20"/>
        <v>836.374460921234</v>
      </c>
      <c r="AY122" s="938">
        <f t="shared" si="21"/>
        <v>67.369510857662121</v>
      </c>
      <c r="AZ122" s="938">
        <f t="shared" si="22"/>
        <v>18.937587201884288</v>
      </c>
      <c r="BA122" s="938">
        <f t="shared" si="23"/>
        <v>48.912098975045339</v>
      </c>
      <c r="BB122" s="938">
        <f t="shared" si="24"/>
        <v>33.325880299810507</v>
      </c>
      <c r="BC122" s="530">
        <f t="shared" si="47"/>
        <v>2228.806296392157</v>
      </c>
      <c r="BD122" s="724">
        <f t="shared" si="48"/>
        <v>0</v>
      </c>
      <c r="BE122" s="436">
        <f t="shared" si="49"/>
        <v>0.21839925921131742</v>
      </c>
      <c r="BF122" s="624">
        <f t="shared" si="50"/>
        <v>0.27698934567607153</v>
      </c>
      <c r="BG122" s="624">
        <f t="shared" si="51"/>
        <v>5.3733479036039984E-2</v>
      </c>
      <c r="BH122" s="624">
        <f t="shared" si="52"/>
        <v>0</v>
      </c>
      <c r="BI122" s="624">
        <f t="shared" si="53"/>
        <v>0</v>
      </c>
      <c r="BJ122" s="624">
        <f t="shared" si="54"/>
        <v>0</v>
      </c>
      <c r="BK122" s="624">
        <f t="shared" si="55"/>
        <v>0.45087791607657107</v>
      </c>
      <c r="BL122" s="624">
        <f t="shared" si="56"/>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74.009549575405472</v>
      </c>
      <c r="BW122" s="114">
        <f t="shared" si="59"/>
        <v>0.78493656484561802</v>
      </c>
      <c r="BX122" s="1689">
        <f t="shared" si="25"/>
        <v>8.6727218784518421</v>
      </c>
      <c r="BY122" s="527">
        <f t="shared" si="60"/>
        <v>74.009549575405472</v>
      </c>
      <c r="BZ122" s="417">
        <f t="shared" si="61"/>
        <v>0.78493656484561802</v>
      </c>
      <c r="CA122" s="544">
        <f t="shared" si="26"/>
        <v>8.6727218784518421</v>
      </c>
      <c r="CB122" s="649">
        <f t="shared" si="27"/>
        <v>0.36002659202487586</v>
      </c>
      <c r="CC122" s="525">
        <f t="shared" si="62"/>
        <v>0.42303586537028126</v>
      </c>
      <c r="CD122" s="417">
        <f t="shared" si="28"/>
        <v>0.36002659202487586</v>
      </c>
      <c r="CE122" s="525">
        <f t="shared" si="63"/>
        <v>0.42303586537028126</v>
      </c>
      <c r="CG122" s="527">
        <f t="shared" si="64"/>
        <v>1914.9659985381836</v>
      </c>
      <c r="CH122" s="528">
        <f t="shared" si="65"/>
        <v>843.25364609787891</v>
      </c>
      <c r="CI122" s="528">
        <f t="shared" si="66"/>
        <v>3211.5281673118106</v>
      </c>
      <c r="CJ122" s="528">
        <f t="shared" si="67"/>
        <v>4065.3910064856605</v>
      </c>
      <c r="CK122" s="528">
        <f t="shared" si="68"/>
        <v>48.930923017358609</v>
      </c>
      <c r="CL122" s="528">
        <f t="shared" si="69"/>
        <v>10084.069741450892</v>
      </c>
      <c r="CM122" s="646">
        <f t="shared" si="70"/>
        <v>0</v>
      </c>
    </row>
    <row r="123" spans="1:91">
      <c r="A123" s="873">
        <f>'Input data'!A143</f>
        <v>2043</v>
      </c>
      <c r="B123" s="1551">
        <f>'Input data'!B143</f>
        <v>72.713504131197794</v>
      </c>
      <c r="C123" s="1550">
        <f>'Input data'!C143</f>
        <v>7308.347295357521</v>
      </c>
      <c r="D123" s="1550">
        <f>'Input data'!D143</f>
        <v>6210318.9300483763</v>
      </c>
      <c r="E123" s="1454">
        <f t="shared" si="88"/>
        <v>1</v>
      </c>
      <c r="F123" s="1504">
        <f t="shared" si="89"/>
        <v>0.36725000000000002</v>
      </c>
      <c r="G123" s="1511">
        <f>B123*F123*'Input data'!$C$9</f>
        <v>817.33279581813269</v>
      </c>
      <c r="H123" s="1542">
        <f>'Input data'!I143</f>
        <v>424.26313389388866</v>
      </c>
      <c r="I123" s="1509">
        <f>'Input data'!K143</f>
        <v>30849.659139108197</v>
      </c>
      <c r="J123" s="1509">
        <f t="shared" si="91"/>
        <v>2228.8062963921584</v>
      </c>
      <c r="K123" s="1511">
        <f t="shared" si="73"/>
        <v>12107.59942346503</v>
      </c>
      <c r="L123" s="1504">
        <f t="shared" si="90"/>
        <v>0.7</v>
      </c>
      <c r="M123" s="1504">
        <f t="shared" si="87"/>
        <v>0.6</v>
      </c>
      <c r="N123" s="1504">
        <f t="shared" si="87"/>
        <v>0.9</v>
      </c>
      <c r="O123" s="1504">
        <f t="shared" si="87"/>
        <v>0.9</v>
      </c>
      <c r="P123" s="1504">
        <f t="shared" si="87"/>
        <v>0.23600000000000002</v>
      </c>
      <c r="Q123" s="1508">
        <f t="shared" si="31"/>
        <v>330.31880869473662</v>
      </c>
      <c r="R123" s="1509">
        <f t="shared" si="32"/>
        <v>230.50673119136695</v>
      </c>
      <c r="S123" s="1509">
        <f t="shared" si="33"/>
        <v>675.01916841381444</v>
      </c>
      <c r="T123" s="1509">
        <f t="shared" si="34"/>
        <v>454.51565149924636</v>
      </c>
      <c r="U123" s="1511">
        <f t="shared" si="35"/>
        <v>0</v>
      </c>
      <c r="V123" s="1509">
        <f t="shared" si="9"/>
        <v>1690.3603597991644</v>
      </c>
      <c r="W123" s="1454">
        <f t="shared" si="86"/>
        <v>0.5</v>
      </c>
      <c r="X123" s="530">
        <f t="shared" si="36"/>
        <v>3033.4854703020706</v>
      </c>
      <c r="Y123" s="528">
        <f t="shared" si="77"/>
        <v>4723.8458301012352</v>
      </c>
      <c r="Z123" s="528">
        <f t="shared" si="78"/>
        <v>9612.5598897559539</v>
      </c>
      <c r="AA123" s="530">
        <f t="shared" si="79"/>
        <v>7383.7535933637955</v>
      </c>
      <c r="AB123" s="1091">
        <f t="shared" si="37"/>
        <v>0.7681360301570257</v>
      </c>
      <c r="AC123" s="135" t="str">
        <f t="shared" si="38"/>
        <v>Yes</v>
      </c>
      <c r="AD123" s="1091">
        <f t="shared" si="39"/>
        <v>0.7681360301570257</v>
      </c>
      <c r="AE123" s="649">
        <f t="shared" si="10"/>
        <v>0.36200198208013235</v>
      </c>
      <c r="AF123" s="530">
        <f t="shared" si="11"/>
        <v>270.67903850077238</v>
      </c>
      <c r="AG123" s="527">
        <f t="shared" si="40"/>
        <v>2228.8062963921584</v>
      </c>
      <c r="AH123" s="528">
        <f t="shared" si="80"/>
        <v>10146.701187877499</v>
      </c>
      <c r="AI123" s="528">
        <f t="shared" si="81"/>
        <v>6437.6604656145792</v>
      </c>
      <c r="AJ123" s="528">
        <f t="shared" si="12"/>
        <v>868.85343437032486</v>
      </c>
      <c r="AK123" s="528">
        <f t="shared" si="41"/>
        <v>19682.02138425456</v>
      </c>
      <c r="AL123" s="716">
        <f t="shared" si="13"/>
        <v>0</v>
      </c>
      <c r="AM123" s="417">
        <f t="shared" si="42"/>
        <v>0.11324072120840105</v>
      </c>
      <c r="AN123" s="417">
        <f t="shared" si="43"/>
        <v>0.51553145836914749</v>
      </c>
      <c r="AO123" s="417">
        <f t="shared" si="44"/>
        <v>0.32708329799726005</v>
      </c>
      <c r="AP123" s="417">
        <f t="shared" si="45"/>
        <v>4.414452242519154E-2</v>
      </c>
      <c r="AQ123" s="417">
        <f t="shared" si="46"/>
        <v>1</v>
      </c>
      <c r="AR123" s="1086">
        <f t="shared" si="14"/>
        <v>487.74148230998145</v>
      </c>
      <c r="AS123" s="938">
        <f t="shared" si="15"/>
        <v>618.58815149826364</v>
      </c>
      <c r="AT123" s="938">
        <f t="shared" si="16"/>
        <v>119.52678199812902</v>
      </c>
      <c r="AU123" s="938">
        <f t="shared" si="17"/>
        <v>0</v>
      </c>
      <c r="AV123" s="938">
        <f t="shared" si="18"/>
        <v>0</v>
      </c>
      <c r="AW123" s="938">
        <f t="shared" si="19"/>
        <v>0</v>
      </c>
      <c r="AX123" s="938">
        <f t="shared" si="20"/>
        <v>834.73515418163026</v>
      </c>
      <c r="AY123" s="938">
        <f t="shared" si="21"/>
        <v>67.237465585654235</v>
      </c>
      <c r="AZ123" s="938">
        <f t="shared" si="22"/>
        <v>18.900469241231061</v>
      </c>
      <c r="BA123" s="938">
        <f t="shared" si="23"/>
        <v>48.816230512718512</v>
      </c>
      <c r="BB123" s="938">
        <f t="shared" si="24"/>
        <v>33.260561064550103</v>
      </c>
      <c r="BC123" s="530">
        <f t="shared" si="47"/>
        <v>2228.8062963921579</v>
      </c>
      <c r="BD123" s="724">
        <f t="shared" si="48"/>
        <v>0</v>
      </c>
      <c r="BE123" s="436">
        <f t="shared" si="49"/>
        <v>0.21883529452492334</v>
      </c>
      <c r="BF123" s="624">
        <f t="shared" si="50"/>
        <v>0.27754235641724123</v>
      </c>
      <c r="BG123" s="624">
        <f t="shared" si="51"/>
        <v>5.3628160595028361E-2</v>
      </c>
      <c r="BH123" s="624">
        <f t="shared" si="52"/>
        <v>0</v>
      </c>
      <c r="BI123" s="624">
        <f t="shared" si="53"/>
        <v>0</v>
      </c>
      <c r="BJ123" s="624">
        <f t="shared" si="54"/>
        <v>0</v>
      </c>
      <c r="BK123" s="624">
        <f t="shared" si="55"/>
        <v>0.44999418846280725</v>
      </c>
      <c r="BL123" s="624">
        <f t="shared" si="56"/>
        <v>1.0000000000000002</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74.079894480752344</v>
      </c>
      <c r="BW123" s="114">
        <f t="shared" si="59"/>
        <v>0.78514078512826757</v>
      </c>
      <c r="BX123" s="1689">
        <f t="shared" si="25"/>
        <v>6.2103189300483761</v>
      </c>
      <c r="BY123" s="527">
        <f t="shared" si="60"/>
        <v>74.079894480752344</v>
      </c>
      <c r="BZ123" s="417">
        <f t="shared" si="61"/>
        <v>0.78514078512826757</v>
      </c>
      <c r="CA123" s="544">
        <f t="shared" si="26"/>
        <v>6.2103189300483761</v>
      </c>
      <c r="CB123" s="649">
        <f t="shared" si="27"/>
        <v>0.36200198208013235</v>
      </c>
      <c r="CC123" s="525">
        <f t="shared" si="62"/>
        <v>0.42214374513725073</v>
      </c>
      <c r="CD123" s="417">
        <f t="shared" si="28"/>
        <v>0.36200198208013235</v>
      </c>
      <c r="CE123" s="525">
        <f t="shared" si="63"/>
        <v>0.42214374513725073</v>
      </c>
      <c r="CG123" s="527">
        <f t="shared" si="64"/>
        <v>1926.8597173859628</v>
      </c>
      <c r="CH123" s="528">
        <f t="shared" si="65"/>
        <v>848.49103506024642</v>
      </c>
      <c r="CI123" s="528">
        <f t="shared" si="66"/>
        <v>3231.4747424065586</v>
      </c>
      <c r="CJ123" s="528">
        <f t="shared" si="67"/>
        <v>4090.6408634932222</v>
      </c>
      <c r="CK123" s="528">
        <f t="shared" si="68"/>
        <v>49.23482953150824</v>
      </c>
      <c r="CL123" s="528">
        <f t="shared" si="69"/>
        <v>10146.701187877499</v>
      </c>
      <c r="CM123" s="646">
        <f t="shared" si="70"/>
        <v>0</v>
      </c>
    </row>
    <row r="124" spans="1:91">
      <c r="A124" s="873">
        <f>'Input data'!A144</f>
        <v>2044</v>
      </c>
      <c r="B124" s="1551">
        <f>'Input data'!B144</f>
        <v>73.165122580420132</v>
      </c>
      <c r="C124" s="1550">
        <f>'Input data'!C144</f>
        <v>7506.518596985471</v>
      </c>
      <c r="D124" s="1550">
        <f>'Input data'!D144</f>
        <v>3747915.9816449117</v>
      </c>
      <c r="E124" s="1454">
        <f t="shared" si="88"/>
        <v>1</v>
      </c>
      <c r="F124" s="1504">
        <f t="shared" si="89"/>
        <v>0.36725000000000002</v>
      </c>
      <c r="G124" s="1511">
        <f>B124*F124*'Input data'!$C$9</f>
        <v>822.40919220634601</v>
      </c>
      <c r="H124" s="1542">
        <f>'Input data'!I144</f>
        <v>424.26313389388866</v>
      </c>
      <c r="I124" s="1509">
        <f>'Input data'!K144</f>
        <v>31041.264197699562</v>
      </c>
      <c r="J124" s="1509">
        <f t="shared" si="91"/>
        <v>2228.8062963921584</v>
      </c>
      <c r="K124" s="1511">
        <f t="shared" si="73"/>
        <v>12196.641828943688</v>
      </c>
      <c r="L124" s="1504">
        <f t="shared" si="90"/>
        <v>0.7</v>
      </c>
      <c r="M124" s="1504">
        <f t="shared" si="87"/>
        <v>0.6</v>
      </c>
      <c r="N124" s="1504">
        <f t="shared" si="87"/>
        <v>0.9</v>
      </c>
      <c r="O124" s="1504">
        <f t="shared" si="87"/>
        <v>0.9</v>
      </c>
      <c r="P124" s="1504">
        <f t="shared" si="87"/>
        <v>0.23600000000000002</v>
      </c>
      <c r="Q124" s="1508">
        <f t="shared" si="31"/>
        <v>332.37039553426666</v>
      </c>
      <c r="R124" s="1509">
        <f t="shared" si="32"/>
        <v>231.93839225240072</v>
      </c>
      <c r="S124" s="1509">
        <f t="shared" si="33"/>
        <v>679.21166489265761</v>
      </c>
      <c r="T124" s="1509">
        <f t="shared" si="34"/>
        <v>457.33861617588991</v>
      </c>
      <c r="U124" s="1511">
        <f t="shared" si="35"/>
        <v>0</v>
      </c>
      <c r="V124" s="1509">
        <f t="shared" si="9"/>
        <v>1700.8590688552149</v>
      </c>
      <c r="W124" s="1454">
        <f t="shared" si="86"/>
        <v>0.5</v>
      </c>
      <c r="X124" s="530">
        <f t="shared" si="36"/>
        <v>3033.4854703020706</v>
      </c>
      <c r="Y124" s="528">
        <f t="shared" si="77"/>
        <v>4734.3445391572859</v>
      </c>
      <c r="Z124" s="528">
        <f t="shared" si="78"/>
        <v>9691.1035861785604</v>
      </c>
      <c r="AA124" s="530">
        <f t="shared" si="79"/>
        <v>7462.297289786402</v>
      </c>
      <c r="AB124" s="1091">
        <f t="shared" si="37"/>
        <v>0.77001522307832115</v>
      </c>
      <c r="AC124" s="135" t="str">
        <f t="shared" si="38"/>
        <v>Yes</v>
      </c>
      <c r="AD124" s="1091">
        <f t="shared" si="39"/>
        <v>0.77001522307832115</v>
      </c>
      <c r="AE124" s="649">
        <f t="shared" si="10"/>
        <v>0.36396428507300427</v>
      </c>
      <c r="AF124" s="530">
        <f t="shared" si="11"/>
        <v>269.84650568336718</v>
      </c>
      <c r="AG124" s="527">
        <f t="shared" si="40"/>
        <v>2228.8062963921584</v>
      </c>
      <c r="AH124" s="528">
        <f t="shared" si="80"/>
        <v>10209.721633803518</v>
      </c>
      <c r="AI124" s="528">
        <f t="shared" si="81"/>
        <v>6437.6604656145792</v>
      </c>
      <c r="AJ124" s="528">
        <f t="shared" si="12"/>
        <v>867.16427041134273</v>
      </c>
      <c r="AK124" s="528">
        <f t="shared" si="41"/>
        <v>19743.352666221599</v>
      </c>
      <c r="AL124" s="716">
        <f t="shared" si="13"/>
        <v>0</v>
      </c>
      <c r="AM124" s="417">
        <f t="shared" si="42"/>
        <v>0.11288894718501212</v>
      </c>
      <c r="AN124" s="417">
        <f t="shared" si="43"/>
        <v>0.51712198056772152</v>
      </c>
      <c r="AO124" s="417">
        <f t="shared" si="44"/>
        <v>0.32606723763936046</v>
      </c>
      <c r="AP124" s="417">
        <f t="shared" si="45"/>
        <v>4.3921834607905885E-2</v>
      </c>
      <c r="AQ124" s="417">
        <f t="shared" si="46"/>
        <v>0.99999999999999989</v>
      </c>
      <c r="AR124" s="1086">
        <f t="shared" si="14"/>
        <v>488.70355470410806</v>
      </c>
      <c r="AS124" s="938">
        <f t="shared" si="15"/>
        <v>619.80831956982433</v>
      </c>
      <c r="AT124" s="938">
        <f t="shared" si="16"/>
        <v>119.29440640485001</v>
      </c>
      <c r="AU124" s="938">
        <f t="shared" si="17"/>
        <v>0</v>
      </c>
      <c r="AV124" s="938">
        <f t="shared" si="18"/>
        <v>0</v>
      </c>
      <c r="AW124" s="938">
        <f t="shared" si="19"/>
        <v>0</v>
      </c>
      <c r="AX124" s="938">
        <f t="shared" si="20"/>
        <v>833.11232059202621</v>
      </c>
      <c r="AY124" s="938">
        <f t="shared" si="21"/>
        <v>67.106747216976913</v>
      </c>
      <c r="AZ124" s="938">
        <f t="shared" si="22"/>
        <v>18.863724273452586</v>
      </c>
      <c r="BA124" s="938">
        <f t="shared" si="23"/>
        <v>48.721325418333805</v>
      </c>
      <c r="BB124" s="938">
        <f t="shared" si="24"/>
        <v>33.195898212585334</v>
      </c>
      <c r="BC124" s="530">
        <f t="shared" si="47"/>
        <v>2228.8062963921575</v>
      </c>
      <c r="BD124" s="724">
        <f t="shared" si="48"/>
        <v>0</v>
      </c>
      <c r="BE124" s="436">
        <f t="shared" si="49"/>
        <v>0.21926694818441095</v>
      </c>
      <c r="BF124" s="624">
        <f t="shared" si="50"/>
        <v>0.27808981003559108</v>
      </c>
      <c r="BG124" s="624">
        <f t="shared" si="51"/>
        <v>5.3523900483391409E-2</v>
      </c>
      <c r="BH124" s="624">
        <f t="shared" si="52"/>
        <v>0</v>
      </c>
      <c r="BI124" s="624">
        <f t="shared" si="53"/>
        <v>0</v>
      </c>
      <c r="BJ124" s="624">
        <f t="shared" si="54"/>
        <v>0</v>
      </c>
      <c r="BK124" s="624">
        <f t="shared" si="55"/>
        <v>0.44911934129660647</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74.172397046004178</v>
      </c>
      <c r="BW124" s="114">
        <f t="shared" si="59"/>
        <v>0.78540874233789215</v>
      </c>
      <c r="BX124" s="1689">
        <f t="shared" si="25"/>
        <v>3.7479159816449119</v>
      </c>
      <c r="BY124" s="527">
        <f t="shared" si="60"/>
        <v>74.172397046004178</v>
      </c>
      <c r="BZ124" s="417">
        <f t="shared" si="61"/>
        <v>0.78540874233789215</v>
      </c>
      <c r="CA124" s="544">
        <f t="shared" si="26"/>
        <v>3.7479159816449119</v>
      </c>
      <c r="CB124" s="649">
        <f t="shared" si="27"/>
        <v>0.36396428507300427</v>
      </c>
      <c r="CC124" s="525">
        <f t="shared" si="62"/>
        <v>0.42133195051404215</v>
      </c>
      <c r="CD124" s="417">
        <f t="shared" si="28"/>
        <v>0.36396428507300427</v>
      </c>
      <c r="CE124" s="525">
        <f t="shared" si="63"/>
        <v>0.42133195051404215</v>
      </c>
      <c r="CG124" s="527">
        <f t="shared" si="64"/>
        <v>1938.8273072832219</v>
      </c>
      <c r="CH124" s="528">
        <f t="shared" si="65"/>
        <v>853.76095307632158</v>
      </c>
      <c r="CI124" s="528">
        <f t="shared" si="66"/>
        <v>3251.5452042733609</v>
      </c>
      <c r="CJ124" s="528">
        <f t="shared" si="67"/>
        <v>4116.0475455830165</v>
      </c>
      <c r="CK124" s="528">
        <f t="shared" si="68"/>
        <v>49.540623587597544</v>
      </c>
      <c r="CL124" s="528">
        <f t="shared" si="69"/>
        <v>10209.72163380352</v>
      </c>
      <c r="CM124" s="646">
        <f t="shared" si="70"/>
        <v>0</v>
      </c>
    </row>
    <row r="125" spans="1:91">
      <c r="A125" s="873">
        <f>'Input data'!A145</f>
        <v>2045</v>
      </c>
      <c r="B125" s="1551">
        <f>'Input data'!B145</f>
        <v>73.619545999999971</v>
      </c>
      <c r="C125" s="1550">
        <f>'Input data'!C145</f>
        <v>7710.3236783048815</v>
      </c>
      <c r="D125" s="1550">
        <f>'Input data'!D145</f>
        <v>1285513.0332414466</v>
      </c>
      <c r="E125" s="1454">
        <f t="shared" si="88"/>
        <v>1</v>
      </c>
      <c r="F125" s="1504">
        <f t="shared" si="89"/>
        <v>0.36725000000000002</v>
      </c>
      <c r="G125" s="1511">
        <f>B125*F125*'Input data'!$C$9</f>
        <v>827.51711773473585</v>
      </c>
      <c r="H125" s="1542">
        <f>'Input data'!I145</f>
        <v>424.26313389388866</v>
      </c>
      <c r="I125" s="1509">
        <f>'Input data'!K145</f>
        <v>31234.059301805282</v>
      </c>
      <c r="J125" s="1509">
        <f t="shared" si="91"/>
        <v>2228.8062963921584</v>
      </c>
      <c r="K125" s="1511">
        <f t="shared" si="73"/>
        <v>12286.237270526955</v>
      </c>
      <c r="L125" s="1504">
        <f t="shared" si="90"/>
        <v>0.7</v>
      </c>
      <c r="M125" s="1504">
        <f t="shared" si="87"/>
        <v>0.6</v>
      </c>
      <c r="N125" s="1504">
        <f t="shared" si="87"/>
        <v>0.9</v>
      </c>
      <c r="O125" s="1504">
        <f t="shared" si="87"/>
        <v>0.9</v>
      </c>
      <c r="P125" s="1504">
        <f t="shared" si="87"/>
        <v>0.23600000000000002</v>
      </c>
      <c r="Q125" s="1508">
        <f t="shared" si="31"/>
        <v>334.43472463505896</v>
      </c>
      <c r="R125" s="1509">
        <f t="shared" si="32"/>
        <v>233.37894525937941</v>
      </c>
      <c r="S125" s="1509">
        <f t="shared" si="33"/>
        <v>683.43020067163889</v>
      </c>
      <c r="T125" s="1509">
        <f t="shared" si="34"/>
        <v>460.17911408717418</v>
      </c>
      <c r="U125" s="1511">
        <f t="shared" si="35"/>
        <v>0</v>
      </c>
      <c r="V125" s="1509">
        <f t="shared" si="9"/>
        <v>1711.4229846532514</v>
      </c>
      <c r="W125" s="1454">
        <f t="shared" si="86"/>
        <v>0.5</v>
      </c>
      <c r="X125" s="530">
        <f t="shared" si="36"/>
        <v>3033.4854703020706</v>
      </c>
      <c r="Y125" s="528">
        <f t="shared" si="77"/>
        <v>4744.9084549553218</v>
      </c>
      <c r="Z125" s="528">
        <f t="shared" si="78"/>
        <v>9770.1351119637911</v>
      </c>
      <c r="AA125" s="530">
        <f t="shared" si="79"/>
        <v>7541.3288155716327</v>
      </c>
      <c r="AB125" s="1091">
        <f t="shared" si="37"/>
        <v>0.77187559119188376</v>
      </c>
      <c r="AC125" s="135" t="str">
        <f t="shared" si="38"/>
        <v>Yes</v>
      </c>
      <c r="AD125" s="1091">
        <f t="shared" si="39"/>
        <v>0.77187559119188376</v>
      </c>
      <c r="AE125" s="649">
        <f t="shared" si="10"/>
        <v>0.36591359792336786</v>
      </c>
      <c r="AF125" s="530">
        <f t="shared" si="11"/>
        <v>269.0194841045323</v>
      </c>
      <c r="AG125" s="527">
        <f t="shared" si="40"/>
        <v>2228.8062963921584</v>
      </c>
      <c r="AH125" s="528">
        <f t="shared" si="80"/>
        <v>10273.133495277429</v>
      </c>
      <c r="AI125" s="528">
        <f t="shared" si="81"/>
        <v>6437.6604656145792</v>
      </c>
      <c r="AJ125" s="528">
        <f t="shared" si="12"/>
        <v>865.49202764570771</v>
      </c>
      <c r="AK125" s="528">
        <f t="shared" si="41"/>
        <v>19805.092284929877</v>
      </c>
      <c r="AL125" s="716">
        <f t="shared" si="13"/>
        <v>0</v>
      </c>
      <c r="AM125" s="417">
        <f t="shared" si="42"/>
        <v>0.11253703160414483</v>
      </c>
      <c r="AN125" s="417">
        <f t="shared" si="43"/>
        <v>0.51871172057574699</v>
      </c>
      <c r="AO125" s="417">
        <f t="shared" si="44"/>
        <v>0.32505076840834185</v>
      </c>
      <c r="AP125" s="417">
        <f t="shared" si="45"/>
        <v>4.3700479411766198E-2</v>
      </c>
      <c r="AQ125" s="417">
        <f t="shared" si="46"/>
        <v>0.99999999999999989</v>
      </c>
      <c r="AR125" s="1086">
        <f t="shared" si="14"/>
        <v>489.65598954179325</v>
      </c>
      <c r="AS125" s="938">
        <f t="shared" si="15"/>
        <v>621.01626461250521</v>
      </c>
      <c r="AT125" s="938">
        <f t="shared" si="16"/>
        <v>119.06435863316699</v>
      </c>
      <c r="AU125" s="938">
        <f t="shared" si="17"/>
        <v>0</v>
      </c>
      <c r="AV125" s="938">
        <f t="shared" si="18"/>
        <v>0</v>
      </c>
      <c r="AW125" s="938">
        <f t="shared" si="19"/>
        <v>0</v>
      </c>
      <c r="AX125" s="938">
        <f t="shared" si="20"/>
        <v>831.50574373155371</v>
      </c>
      <c r="AY125" s="938">
        <f t="shared" si="21"/>
        <v>66.977338319046126</v>
      </c>
      <c r="AZ125" s="938">
        <f t="shared" si="22"/>
        <v>18.827347398244971</v>
      </c>
      <c r="BA125" s="938">
        <f t="shared" si="23"/>
        <v>48.627371035360618</v>
      </c>
      <c r="BB125" s="938">
        <f t="shared" si="24"/>
        <v>33.131883120487025</v>
      </c>
      <c r="BC125" s="530">
        <f t="shared" si="47"/>
        <v>2228.8062963921584</v>
      </c>
      <c r="BD125" s="724">
        <f t="shared" si="48"/>
        <v>0</v>
      </c>
      <c r="BE125" s="436">
        <f t="shared" si="49"/>
        <v>0.21969427775505454</v>
      </c>
      <c r="BF125" s="624">
        <f t="shared" si="50"/>
        <v>0.27863177953946222</v>
      </c>
      <c r="BG125" s="624">
        <f t="shared" si="51"/>
        <v>5.3420684797014596E-2</v>
      </c>
      <c r="BH125" s="624">
        <f t="shared" si="52"/>
        <v>0</v>
      </c>
      <c r="BI125" s="624">
        <f t="shared" si="53"/>
        <v>0</v>
      </c>
      <c r="BJ125" s="624">
        <f t="shared" si="54"/>
        <v>0</v>
      </c>
      <c r="BK125" s="624">
        <f t="shared" si="55"/>
        <v>0.44825325790846843</v>
      </c>
      <c r="BL125" s="624">
        <f t="shared" si="56"/>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74.294195412452794</v>
      </c>
      <c r="BW125" s="114">
        <f t="shared" si="59"/>
        <v>0.78576054458155742</v>
      </c>
      <c r="BX125" s="1689">
        <f t="shared" si="25"/>
        <v>1.2855130332414466</v>
      </c>
      <c r="BY125" s="527">
        <f t="shared" si="60"/>
        <v>74.294195412452794</v>
      </c>
      <c r="BZ125" s="417">
        <f t="shared" si="61"/>
        <v>0.78576054458155742</v>
      </c>
      <c r="CA125" s="544">
        <f t="shared" si="26"/>
        <v>1.2855130332414466</v>
      </c>
      <c r="CB125" s="649">
        <f t="shared" si="27"/>
        <v>0.36591359792336786</v>
      </c>
      <c r="CC125" s="525">
        <f t="shared" si="62"/>
        <v>0.42062927878451328</v>
      </c>
      <c r="CD125" s="417">
        <f t="shared" si="28"/>
        <v>0.36591359792336786</v>
      </c>
      <c r="CE125" s="525">
        <f t="shared" si="63"/>
        <v>0.42062927878451328</v>
      </c>
      <c r="CG125" s="527">
        <f t="shared" si="64"/>
        <v>1950.8692270378426</v>
      </c>
      <c r="CH125" s="528">
        <f t="shared" si="65"/>
        <v>859.06360218176451</v>
      </c>
      <c r="CI125" s="528">
        <f t="shared" si="66"/>
        <v>3271.7403223642282</v>
      </c>
      <c r="CJ125" s="528">
        <f t="shared" si="67"/>
        <v>4141.6120267845772</v>
      </c>
      <c r="CK125" s="528">
        <f t="shared" si="68"/>
        <v>49.848316909016496</v>
      </c>
      <c r="CL125" s="528">
        <f t="shared" si="69"/>
        <v>10273.133495277429</v>
      </c>
      <c r="CM125" s="646">
        <f t="shared" si="70"/>
        <v>0</v>
      </c>
    </row>
    <row r="126" spans="1:91">
      <c r="A126" s="873">
        <f>'Input data'!A146</f>
        <v>2046</v>
      </c>
      <c r="B126" s="1551">
        <f>'Input data'!B146</f>
        <v>73.995362001779526</v>
      </c>
      <c r="C126" s="1550">
        <f>'Input data'!C146</f>
        <v>7937.3408756753133</v>
      </c>
      <c r="D126" s="1550">
        <f>'Input data'!D146</f>
        <v>1075389.49817775</v>
      </c>
      <c r="E126" s="1454">
        <f t="shared" si="88"/>
        <v>1</v>
      </c>
      <c r="F126" s="1504">
        <f t="shared" si="89"/>
        <v>0.36725000000000002</v>
      </c>
      <c r="G126" s="1511">
        <f>B126*F126*'Input data'!$C$9</f>
        <v>831.74146020203671</v>
      </c>
      <c r="H126" s="1542">
        <f>'Input data'!I146</f>
        <v>424.26313389388866</v>
      </c>
      <c r="I126" s="1509">
        <f>'Input data'!K146</f>
        <v>31393.50417648775</v>
      </c>
      <c r="J126" s="1509">
        <f t="shared" si="91"/>
        <v>2228.8062963921584</v>
      </c>
      <c r="K126" s="1511">
        <f t="shared" si="73"/>
        <v>12360.334245248529</v>
      </c>
      <c r="L126" s="1504">
        <f t="shared" si="90"/>
        <v>0.7</v>
      </c>
      <c r="M126" s="1504">
        <f t="shared" si="87"/>
        <v>0.6</v>
      </c>
      <c r="N126" s="1504">
        <f t="shared" si="87"/>
        <v>0.9</v>
      </c>
      <c r="O126" s="1504">
        <f t="shared" si="87"/>
        <v>0.9</v>
      </c>
      <c r="P126" s="1504">
        <f t="shared" si="87"/>
        <v>0.23600000000000002</v>
      </c>
      <c r="Q126" s="1508">
        <f t="shared" si="31"/>
        <v>336.14196038830005</v>
      </c>
      <c r="R126" s="1509">
        <f t="shared" si="32"/>
        <v>234.57030742978588</v>
      </c>
      <c r="S126" s="1509">
        <f t="shared" si="33"/>
        <v>686.91900248402408</v>
      </c>
      <c r="T126" s="1509">
        <f t="shared" si="34"/>
        <v>462.52825482703656</v>
      </c>
      <c r="U126" s="1511">
        <f t="shared" si="35"/>
        <v>0</v>
      </c>
      <c r="V126" s="1509">
        <f t="shared" si="9"/>
        <v>1720.1595251291465</v>
      </c>
      <c r="W126" s="1454">
        <f t="shared" si="86"/>
        <v>0.5</v>
      </c>
      <c r="X126" s="530">
        <f t="shared" si="36"/>
        <v>3033.4854703020706</v>
      </c>
      <c r="Y126" s="528">
        <f t="shared" si="77"/>
        <v>4753.6449954312175</v>
      </c>
      <c r="Z126" s="528">
        <f t="shared" si="78"/>
        <v>9835.4955462094695</v>
      </c>
      <c r="AA126" s="530">
        <f t="shared" si="79"/>
        <v>7606.6892498173111</v>
      </c>
      <c r="AB126" s="1091">
        <f t="shared" si="37"/>
        <v>0.77339156060610237</v>
      </c>
      <c r="AC126" s="135" t="str">
        <f t="shared" si="38"/>
        <v>Yes</v>
      </c>
      <c r="AD126" s="1091">
        <f t="shared" si="39"/>
        <v>0.77339156060610237</v>
      </c>
      <c r="AE126" s="649">
        <f t="shared" si="10"/>
        <v>0.36750697834425616</v>
      </c>
      <c r="AF126" s="530">
        <f t="shared" si="11"/>
        <v>268.34347153368111</v>
      </c>
      <c r="AG126" s="527">
        <f t="shared" si="40"/>
        <v>2228.8062963921584</v>
      </c>
      <c r="AH126" s="528">
        <f t="shared" si="80"/>
        <v>10325.57619787088</v>
      </c>
      <c r="AI126" s="528">
        <f t="shared" si="81"/>
        <v>6437.6604656145792</v>
      </c>
      <c r="AJ126" s="528">
        <f t="shared" si="12"/>
        <v>864.12935707133613</v>
      </c>
      <c r="AK126" s="528">
        <f t="shared" si="41"/>
        <v>19856.172316948952</v>
      </c>
      <c r="AL126" s="716">
        <f t="shared" si="13"/>
        <v>0</v>
      </c>
      <c r="AM126" s="417">
        <f t="shared" si="42"/>
        <v>0.11224752992749164</v>
      </c>
      <c r="AN126" s="417">
        <f t="shared" si="43"/>
        <v>0.52001846242324923</v>
      </c>
      <c r="AO126" s="417">
        <f t="shared" si="44"/>
        <v>0.32421457483623273</v>
      </c>
      <c r="AP126" s="417">
        <f t="shared" si="45"/>
        <v>4.3519432813026476E-2</v>
      </c>
      <c r="AQ126" s="417">
        <f t="shared" si="46"/>
        <v>1</v>
      </c>
      <c r="AR126" s="1086">
        <f t="shared" si="14"/>
        <v>490.43210587728646</v>
      </c>
      <c r="AS126" s="938">
        <f t="shared" si="15"/>
        <v>622.00059009379629</v>
      </c>
      <c r="AT126" s="938">
        <f t="shared" si="16"/>
        <v>118.87689821437245</v>
      </c>
      <c r="AU126" s="938">
        <f t="shared" si="17"/>
        <v>0</v>
      </c>
      <c r="AV126" s="938">
        <f t="shared" si="18"/>
        <v>0</v>
      </c>
      <c r="AW126" s="938">
        <f t="shared" si="19"/>
        <v>0</v>
      </c>
      <c r="AX126" s="938">
        <f t="shared" si="20"/>
        <v>830.19658273039909</v>
      </c>
      <c r="AY126" s="938">
        <f t="shared" si="21"/>
        <v>66.871886107862451</v>
      </c>
      <c r="AZ126" s="938">
        <f t="shared" si="22"/>
        <v>18.797704753976223</v>
      </c>
      <c r="BA126" s="938">
        <f t="shared" si="23"/>
        <v>48.550809859171196</v>
      </c>
      <c r="BB126" s="938">
        <f t="shared" si="24"/>
        <v>33.079718755293953</v>
      </c>
      <c r="BC126" s="530">
        <f t="shared" si="47"/>
        <v>2228.8062963921579</v>
      </c>
      <c r="BD126" s="724">
        <f t="shared" si="48"/>
        <v>0</v>
      </c>
      <c r="BE126" s="436">
        <f t="shared" si="49"/>
        <v>0.22004249838631784</v>
      </c>
      <c r="BF126" s="624">
        <f t="shared" si="50"/>
        <v>0.27907341750633474</v>
      </c>
      <c r="BG126" s="624">
        <f t="shared" si="51"/>
        <v>5.3336576806518536E-2</v>
      </c>
      <c r="BH126" s="624">
        <f t="shared" si="52"/>
        <v>0</v>
      </c>
      <c r="BI126" s="624">
        <f t="shared" si="53"/>
        <v>0</v>
      </c>
      <c r="BJ126" s="624">
        <f t="shared" si="54"/>
        <v>0</v>
      </c>
      <c r="BK126" s="624">
        <f t="shared" si="55"/>
        <v>0.44754750730082893</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75.425267150084025</v>
      </c>
      <c r="BW126" s="114">
        <f t="shared" si="59"/>
        <v>0.78897326363798614</v>
      </c>
      <c r="BX126" s="1689">
        <f t="shared" si="25"/>
        <v>1.0753894981777501</v>
      </c>
      <c r="BY126" s="527">
        <f t="shared" si="60"/>
        <v>75.425267150084025</v>
      </c>
      <c r="BZ126" s="417">
        <f t="shared" si="61"/>
        <v>0.78897326363798614</v>
      </c>
      <c r="CA126" s="544">
        <f t="shared" si="26"/>
        <v>1.0753894981777501</v>
      </c>
      <c r="CB126" s="649">
        <f t="shared" si="27"/>
        <v>0.36750697834425616</v>
      </c>
      <c r="CC126" s="525">
        <f t="shared" si="62"/>
        <v>0.42457126921454891</v>
      </c>
      <c r="CD126" s="417">
        <f t="shared" si="28"/>
        <v>0.36750697834425616</v>
      </c>
      <c r="CE126" s="525">
        <f t="shared" si="63"/>
        <v>0.42457126921454891</v>
      </c>
      <c r="CG126" s="527">
        <f t="shared" si="64"/>
        <v>1960.828102265084</v>
      </c>
      <c r="CH126" s="528">
        <f t="shared" si="65"/>
        <v>863.44898440412021</v>
      </c>
      <c r="CI126" s="528">
        <f t="shared" si="66"/>
        <v>3288.4420331682022</v>
      </c>
      <c r="CJ126" s="528">
        <f t="shared" si="67"/>
        <v>4162.7542934433304</v>
      </c>
      <c r="CK126" s="528">
        <f t="shared" si="68"/>
        <v>50.10278459014274</v>
      </c>
      <c r="CL126" s="528">
        <f t="shared" si="69"/>
        <v>10325.57619787088</v>
      </c>
      <c r="CM126" s="646">
        <f t="shared" si="70"/>
        <v>0</v>
      </c>
    </row>
    <row r="127" spans="1:91" s="1" customFormat="1">
      <c r="A127" s="873">
        <f>'Input data'!A147</f>
        <v>2047</v>
      </c>
      <c r="B127" s="1551">
        <f>'Input data'!B147</f>
        <v>74.373096484110363</v>
      </c>
      <c r="C127" s="1550">
        <f>'Input data'!C147</f>
        <v>8114.689906663607</v>
      </c>
      <c r="D127" s="1550">
        <f>'Input data'!D147</f>
        <v>865265.96311405371</v>
      </c>
      <c r="E127" s="1454">
        <f t="shared" si="88"/>
        <v>1</v>
      </c>
      <c r="F127" s="1504">
        <f t="shared" si="89"/>
        <v>0.36725000000000002</v>
      </c>
      <c r="G127" s="1511">
        <f>B127*F127*'Input data'!$C$9</f>
        <v>835.98736726165691</v>
      </c>
      <c r="H127" s="1542">
        <f>'Input data'!I147</f>
        <v>424.26313389388866</v>
      </c>
      <c r="I127" s="1509">
        <f>'Input data'!K147</f>
        <v>31553.762991741216</v>
      </c>
      <c r="J127" s="1509">
        <f t="shared" si="91"/>
        <v>2228.8062963921584</v>
      </c>
      <c r="K127" s="1511">
        <f t="shared" si="73"/>
        <v>12434.809473169109</v>
      </c>
      <c r="L127" s="1504">
        <f t="shared" si="90"/>
        <v>0.7</v>
      </c>
      <c r="M127" s="1504">
        <f t="shared" si="90"/>
        <v>0.6</v>
      </c>
      <c r="N127" s="1504">
        <f t="shared" si="90"/>
        <v>0.9</v>
      </c>
      <c r="O127" s="1504">
        <f t="shared" si="90"/>
        <v>0.9</v>
      </c>
      <c r="P127" s="1504">
        <f t="shared" si="90"/>
        <v>0.23600000000000002</v>
      </c>
      <c r="Q127" s="1508">
        <f t="shared" si="31"/>
        <v>337.8579113068713</v>
      </c>
      <c r="R127" s="1509">
        <f t="shared" si="32"/>
        <v>235.76775131343163</v>
      </c>
      <c r="S127" s="1509">
        <f t="shared" si="33"/>
        <v>690.42561407138692</v>
      </c>
      <c r="T127" s="1509">
        <f t="shared" si="34"/>
        <v>464.88938755446634</v>
      </c>
      <c r="U127" s="1511">
        <f t="shared" si="35"/>
        <v>0</v>
      </c>
      <c r="V127" s="1509">
        <f t="shared" si="9"/>
        <v>1728.9406642461563</v>
      </c>
      <c r="W127" s="1454">
        <f t="shared" si="86"/>
        <v>0.5</v>
      </c>
      <c r="X127" s="530">
        <f t="shared" si="36"/>
        <v>3033.4854703020706</v>
      </c>
      <c r="Y127" s="528">
        <f t="shared" si="77"/>
        <v>4762.4261345482264</v>
      </c>
      <c r="Z127" s="528">
        <f t="shared" si="78"/>
        <v>9901.189635013041</v>
      </c>
      <c r="AA127" s="530">
        <f t="shared" si="79"/>
        <v>7672.3833386208826</v>
      </c>
      <c r="AB127" s="1091">
        <f t="shared" si="37"/>
        <v>0.7748951006341146</v>
      </c>
      <c r="AC127" s="135" t="str">
        <f t="shared" si="38"/>
        <v>Yes</v>
      </c>
      <c r="AD127" s="1091">
        <f t="shared" si="39"/>
        <v>0.7748951006341146</v>
      </c>
      <c r="AE127" s="649">
        <f t="shared" si="10"/>
        <v>0.36909169159072286</v>
      </c>
      <c r="AF127" s="530">
        <f t="shared" si="11"/>
        <v>267.67113612541198</v>
      </c>
      <c r="AG127" s="527">
        <f t="shared" si="40"/>
        <v>2228.8062963921584</v>
      </c>
      <c r="AH127" s="528">
        <f t="shared" si="80"/>
        <v>10378.286612069227</v>
      </c>
      <c r="AI127" s="528">
        <f t="shared" si="81"/>
        <v>6437.6604656145792</v>
      </c>
      <c r="AJ127" s="528">
        <f t="shared" si="12"/>
        <v>862.77785899073763</v>
      </c>
      <c r="AK127" s="528">
        <f t="shared" si="41"/>
        <v>19907.531233066704</v>
      </c>
      <c r="AL127" s="716">
        <f t="shared" si="13"/>
        <v>0</v>
      </c>
      <c r="AM127" s="417">
        <f t="shared" si="42"/>
        <v>0.11195794547794445</v>
      </c>
      <c r="AN127" s="417">
        <f t="shared" si="43"/>
        <v>0.52132464294873182</v>
      </c>
      <c r="AO127" s="417">
        <f t="shared" si="44"/>
        <v>0.32337814218377464</v>
      </c>
      <c r="AP127" s="417">
        <f t="shared" si="45"/>
        <v>4.3339269389548955E-2</v>
      </c>
      <c r="AQ127" s="417">
        <f t="shared" si="46"/>
        <v>0.99999999999999978</v>
      </c>
      <c r="AR127" s="1086">
        <f t="shared" si="14"/>
        <v>491.20185885901765</v>
      </c>
      <c r="AS127" s="938">
        <f t="shared" si="15"/>
        <v>622.97684512099681</v>
      </c>
      <c r="AT127" s="938">
        <f t="shared" si="16"/>
        <v>118.69097477773697</v>
      </c>
      <c r="AU127" s="938">
        <f t="shared" si="17"/>
        <v>0</v>
      </c>
      <c r="AV127" s="938">
        <f t="shared" si="18"/>
        <v>0</v>
      </c>
      <c r="AW127" s="938">
        <f t="shared" si="19"/>
        <v>0</v>
      </c>
      <c r="AX127" s="938">
        <f t="shared" si="20"/>
        <v>828.8981554996866</v>
      </c>
      <c r="AY127" s="938">
        <f t="shared" si="21"/>
        <v>66.767298496087406</v>
      </c>
      <c r="AZ127" s="938">
        <f t="shared" si="22"/>
        <v>18.768305148828162</v>
      </c>
      <c r="BA127" s="938">
        <f t="shared" si="23"/>
        <v>48.474876405691035</v>
      </c>
      <c r="BB127" s="938">
        <f t="shared" si="24"/>
        <v>33.027982084113098</v>
      </c>
      <c r="BC127" s="530">
        <f t="shared" si="47"/>
        <v>2228.8062963921579</v>
      </c>
      <c r="BD127" s="724">
        <f t="shared" si="48"/>
        <v>0</v>
      </c>
      <c r="BE127" s="436">
        <f t="shared" si="49"/>
        <v>0.22038786396742607</v>
      </c>
      <c r="BF127" s="624">
        <f t="shared" si="50"/>
        <v>0.27951143449721488</v>
      </c>
      <c r="BG127" s="624">
        <f t="shared" si="51"/>
        <v>5.3253158414827681E-2</v>
      </c>
      <c r="BH127" s="624">
        <f t="shared" si="52"/>
        <v>0</v>
      </c>
      <c r="BI127" s="624">
        <f t="shared" si="53"/>
        <v>0</v>
      </c>
      <c r="BJ127" s="624">
        <f t="shared" si="54"/>
        <v>0</v>
      </c>
      <c r="BK127" s="624">
        <f t="shared" si="55"/>
        <v>0.44684754312053121</v>
      </c>
      <c r="BL127" s="624">
        <f t="shared" si="56"/>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76.301941964538074</v>
      </c>
      <c r="BW127" s="114">
        <f t="shared" si="59"/>
        <v>0.79139786542637847</v>
      </c>
      <c r="BX127" s="1689">
        <f t="shared" si="25"/>
        <v>0.86526596311405368</v>
      </c>
      <c r="BY127" s="527">
        <f t="shared" si="60"/>
        <v>76.301941964538074</v>
      </c>
      <c r="BZ127" s="417">
        <f t="shared" si="61"/>
        <v>0.79139786542637847</v>
      </c>
      <c r="CA127" s="544">
        <f t="shared" si="26"/>
        <v>0.86526596311405368</v>
      </c>
      <c r="CB127" s="649">
        <f t="shared" si="27"/>
        <v>0.36909169159072286</v>
      </c>
      <c r="CC127" s="525">
        <f t="shared" si="62"/>
        <v>0.42742995593517208</v>
      </c>
      <c r="CD127" s="417">
        <f t="shared" si="28"/>
        <v>0.36909169159072286</v>
      </c>
      <c r="CE127" s="525">
        <f t="shared" si="63"/>
        <v>0.42742995593517208</v>
      </c>
      <c r="CG127" s="527">
        <f t="shared" si="64"/>
        <v>1970.8378159567483</v>
      </c>
      <c r="CH127" s="528">
        <f t="shared" si="65"/>
        <v>867.85675330097536</v>
      </c>
      <c r="CI127" s="528">
        <f t="shared" si="66"/>
        <v>3305.2290035332353</v>
      </c>
      <c r="CJ127" s="528">
        <f t="shared" si="67"/>
        <v>4184.0044879902052</v>
      </c>
      <c r="CK127" s="528">
        <f t="shared" si="68"/>
        <v>50.358551288061392</v>
      </c>
      <c r="CL127" s="528">
        <f t="shared" si="69"/>
        <v>10378.286612069225</v>
      </c>
      <c r="CM127" s="646">
        <f t="shared" si="70"/>
        <v>0</v>
      </c>
    </row>
    <row r="128" spans="1:91">
      <c r="A128" s="127">
        <f>'Input data'!A148</f>
        <v>2048</v>
      </c>
      <c r="B128" s="662">
        <f>'Input data'!B148</f>
        <v>74.752759240528661</v>
      </c>
      <c r="C128" s="236">
        <f>'Input data'!C148</f>
        <v>8296.4877206561141</v>
      </c>
      <c r="D128" s="236">
        <f>'Input data'!D148</f>
        <v>655142.42805035703</v>
      </c>
      <c r="E128" s="649">
        <f t="shared" si="88"/>
        <v>1</v>
      </c>
      <c r="F128" s="417">
        <f t="shared" si="89"/>
        <v>0.36725000000000002</v>
      </c>
      <c r="G128" s="530">
        <f>B128*F128*'Input data'!$C$9</f>
        <v>840.25494899738908</v>
      </c>
      <c r="H128" s="529">
        <f>'Input data'!I148</f>
        <v>424.26313389388866</v>
      </c>
      <c r="I128" s="528">
        <f>'Input data'!K148</f>
        <v>31714.839902602034</v>
      </c>
      <c r="J128" s="528">
        <f t="shared" si="91"/>
        <v>2228.8062963921584</v>
      </c>
      <c r="K128" s="530">
        <f t="shared" si="73"/>
        <v>12509.664885210746</v>
      </c>
      <c r="L128" s="417">
        <f t="shared" ref="L128:P130" si="93">L127</f>
        <v>0.7</v>
      </c>
      <c r="M128" s="417">
        <f t="shared" si="93"/>
        <v>0.6</v>
      </c>
      <c r="N128" s="417">
        <f t="shared" si="93"/>
        <v>0.9</v>
      </c>
      <c r="O128" s="417">
        <f t="shared" si="93"/>
        <v>0.9</v>
      </c>
      <c r="P128" s="417">
        <f t="shared" si="93"/>
        <v>0.23600000000000002</v>
      </c>
      <c r="Q128" s="527">
        <f t="shared" si="31"/>
        <v>339.58262188029607</v>
      </c>
      <c r="R128" s="528">
        <f t="shared" si="32"/>
        <v>236.971307956489</v>
      </c>
      <c r="S128" s="528">
        <f t="shared" si="33"/>
        <v>693.95012634977684</v>
      </c>
      <c r="T128" s="528">
        <f t="shared" si="34"/>
        <v>467.26257348664376</v>
      </c>
      <c r="U128" s="530">
        <f t="shared" si="35"/>
        <v>0</v>
      </c>
      <c r="V128" s="528">
        <f t="shared" si="9"/>
        <v>1737.7666296732057</v>
      </c>
      <c r="W128" s="649">
        <f t="shared" si="86"/>
        <v>0.5</v>
      </c>
      <c r="X128" s="530">
        <f t="shared" si="36"/>
        <v>3033.4854703020706</v>
      </c>
      <c r="Y128" s="528">
        <f t="shared" si="77"/>
        <v>4771.252099975276</v>
      </c>
      <c r="Z128" s="528">
        <f t="shared" si="78"/>
        <v>9967.2190816276288</v>
      </c>
      <c r="AA128" s="530">
        <f t="shared" si="79"/>
        <v>7738.4127852354704</v>
      </c>
      <c r="AB128" s="1091">
        <f t="shared" si="37"/>
        <v>0.77638634426121211</v>
      </c>
      <c r="AC128" s="135" t="str">
        <f t="shared" si="38"/>
        <v>Yes</v>
      </c>
      <c r="AD128" s="1091">
        <f t="shared" si="39"/>
        <v>0.77638634426121211</v>
      </c>
      <c r="AE128" s="649">
        <f t="shared" si="10"/>
        <v>0.3706677901680655</v>
      </c>
      <c r="AF128" s="530">
        <f t="shared" si="11"/>
        <v>267.00245560366284</v>
      </c>
      <c r="AG128" s="527">
        <f t="shared" si="40"/>
        <v>2228.8062963921584</v>
      </c>
      <c r="AH128" s="528">
        <f t="shared" si="80"/>
        <v>10431.266104497367</v>
      </c>
      <c r="AI128" s="528">
        <f t="shared" si="81"/>
        <v>6437.6604656145792</v>
      </c>
      <c r="AJ128" s="528">
        <f t="shared" si="12"/>
        <v>861.43741386644547</v>
      </c>
      <c r="AK128" s="528">
        <f t="shared" si="41"/>
        <v>19959.170280370552</v>
      </c>
      <c r="AL128" s="716">
        <f t="shared" si="13"/>
        <v>0</v>
      </c>
      <c r="AM128" s="417">
        <f t="shared" si="42"/>
        <v>0.11166828405608349</v>
      </c>
      <c r="AN128" s="417">
        <f t="shared" si="43"/>
        <v>0.52263024754873255</v>
      </c>
      <c r="AO128" s="417">
        <f t="shared" si="44"/>
        <v>0.32254148720530185</v>
      </c>
      <c r="AP128" s="417">
        <f t="shared" si="45"/>
        <v>4.3159981189882027E-2</v>
      </c>
      <c r="AQ128" s="417">
        <f t="shared" si="46"/>
        <v>1</v>
      </c>
      <c r="AR128" s="1086">
        <f t="shared" si="14"/>
        <v>491.96531657019244</v>
      </c>
      <c r="AS128" s="938">
        <f t="shared" si="15"/>
        <v>623.94511604203069</v>
      </c>
      <c r="AT128" s="938">
        <f t="shared" si="16"/>
        <v>118.5065718786821</v>
      </c>
      <c r="AU128" s="938">
        <f t="shared" si="17"/>
        <v>0</v>
      </c>
      <c r="AV128" s="938">
        <f t="shared" si="18"/>
        <v>0</v>
      </c>
      <c r="AW128" s="938">
        <f t="shared" si="19"/>
        <v>0</v>
      </c>
      <c r="AX128" s="938">
        <f t="shared" si="20"/>
        <v>827.61034719596614</v>
      </c>
      <c r="AY128" s="938">
        <f t="shared" si="21"/>
        <v>66.663566233143229</v>
      </c>
      <c r="AZ128" s="938">
        <f t="shared" si="22"/>
        <v>18.739145982461341</v>
      </c>
      <c r="BA128" s="938">
        <f t="shared" si="23"/>
        <v>48.399563958748168</v>
      </c>
      <c r="BB128" s="938">
        <f t="shared" si="24"/>
        <v>32.976668530933082</v>
      </c>
      <c r="BC128" s="530">
        <f t="shared" si="47"/>
        <v>2228.806296392157</v>
      </c>
      <c r="BD128" s="724">
        <f t="shared" si="48"/>
        <v>0</v>
      </c>
      <c r="BE128" s="436">
        <f t="shared" si="49"/>
        <v>0.22073040504531644</v>
      </c>
      <c r="BF128" s="624">
        <f t="shared" si="50"/>
        <v>0.27994586925388332</v>
      </c>
      <c r="BG128" s="624">
        <f t="shared" si="51"/>
        <v>5.3170422243742146E-2</v>
      </c>
      <c r="BH128" s="624">
        <f t="shared" si="52"/>
        <v>0</v>
      </c>
      <c r="BI128" s="624">
        <f t="shared" si="53"/>
        <v>0</v>
      </c>
      <c r="BJ128" s="624">
        <f t="shared" si="54"/>
        <v>0</v>
      </c>
      <c r="BK128" s="624">
        <f t="shared" si="55"/>
        <v>0.44615330345705817</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77.201708249624033</v>
      </c>
      <c r="BW128" s="114">
        <f t="shared" si="59"/>
        <v>0.79382907027847094</v>
      </c>
      <c r="BX128" s="1689">
        <f t="shared" si="25"/>
        <v>0.65514242805035705</v>
      </c>
      <c r="BY128" s="527">
        <f t="shared" si="60"/>
        <v>77.201708249624033</v>
      </c>
      <c r="BZ128" s="417">
        <f t="shared" si="61"/>
        <v>0.79382907027847094</v>
      </c>
      <c r="CA128" s="544">
        <f t="shared" si="26"/>
        <v>0.65514242805035705</v>
      </c>
      <c r="CB128" s="649">
        <f t="shared" si="27"/>
        <v>0.3706677901680655</v>
      </c>
      <c r="CC128" s="525">
        <f t="shared" si="62"/>
        <v>0.43025563637690944</v>
      </c>
      <c r="CD128" s="417">
        <f t="shared" si="28"/>
        <v>0.3706677901680655</v>
      </c>
      <c r="CE128" s="525">
        <f t="shared" si="63"/>
        <v>0.43025563637690944</v>
      </c>
      <c r="CG128" s="527">
        <f t="shared" si="64"/>
        <v>1980.8986276350599</v>
      </c>
      <c r="CH128" s="528">
        <f t="shared" si="65"/>
        <v>872.28702315272039</v>
      </c>
      <c r="CI128" s="528">
        <f t="shared" si="66"/>
        <v>3322.101668695741</v>
      </c>
      <c r="CJ128" s="528">
        <f t="shared" si="67"/>
        <v>4205.3631613797997</v>
      </c>
      <c r="CK128" s="528">
        <f t="shared" si="68"/>
        <v>50.615623634045299</v>
      </c>
      <c r="CL128" s="528">
        <f t="shared" si="69"/>
        <v>10431.266104497367</v>
      </c>
      <c r="CM128" s="646">
        <f t="shared" si="70"/>
        <v>0</v>
      </c>
    </row>
    <row r="129" spans="1:91">
      <c r="A129" s="127">
        <f>'Input data'!A149</f>
        <v>2049</v>
      </c>
      <c r="B129" s="662">
        <f>'Input data'!B149</f>
        <v>75.134360114565098</v>
      </c>
      <c r="C129" s="236">
        <f>'Input data'!C149</f>
        <v>8472.9909282566368</v>
      </c>
      <c r="D129" s="236">
        <f>'Input data'!D149</f>
        <v>445018.89298666047</v>
      </c>
      <c r="E129" s="649">
        <f t="shared" si="88"/>
        <v>1</v>
      </c>
      <c r="F129" s="417">
        <f t="shared" si="89"/>
        <v>0.36725000000000002</v>
      </c>
      <c r="G129" s="530">
        <f>B129*F129*'Input data'!$C$9</f>
        <v>844.54431605498667</v>
      </c>
      <c r="H129" s="529">
        <f>'Input data'!I149</f>
        <v>424.26313389388866</v>
      </c>
      <c r="I129" s="528">
        <f>'Input data'!K149</f>
        <v>31876.739085317382</v>
      </c>
      <c r="J129" s="528">
        <f t="shared" si="91"/>
        <v>2228.8062963921584</v>
      </c>
      <c r="K129" s="530">
        <f t="shared" si="73"/>
        <v>12584.902422152543</v>
      </c>
      <c r="L129" s="417">
        <f t="shared" si="93"/>
        <v>0.7</v>
      </c>
      <c r="M129" s="417">
        <f t="shared" si="93"/>
        <v>0.6</v>
      </c>
      <c r="N129" s="417">
        <f t="shared" si="93"/>
        <v>0.9</v>
      </c>
      <c r="O129" s="417">
        <f t="shared" si="93"/>
        <v>0.9</v>
      </c>
      <c r="P129" s="417">
        <f t="shared" si="93"/>
        <v>0.23600000000000002</v>
      </c>
      <c r="Q129" s="527">
        <f t="shared" si="31"/>
        <v>341.31613682521129</v>
      </c>
      <c r="R129" s="528">
        <f t="shared" si="32"/>
        <v>238.18100856361684</v>
      </c>
      <c r="S129" s="528">
        <f t="shared" si="33"/>
        <v>697.49263069935841</v>
      </c>
      <c r="T129" s="528">
        <f t="shared" si="34"/>
        <v>469.64787415324872</v>
      </c>
      <c r="U129" s="530">
        <f t="shared" si="35"/>
        <v>0</v>
      </c>
      <c r="V129" s="528">
        <f t="shared" si="9"/>
        <v>1746.6376502414353</v>
      </c>
      <c r="W129" s="649">
        <f t="shared" si="86"/>
        <v>0.5</v>
      </c>
      <c r="X129" s="530">
        <f t="shared" si="36"/>
        <v>3033.4854703020706</v>
      </c>
      <c r="Y129" s="528">
        <f t="shared" si="77"/>
        <v>4780.123120543506</v>
      </c>
      <c r="Z129" s="528">
        <f t="shared" si="78"/>
        <v>10033.585598001195</v>
      </c>
      <c r="AA129" s="530">
        <f t="shared" si="79"/>
        <v>7804.7793016090363</v>
      </c>
      <c r="AB129" s="1091">
        <f t="shared" si="37"/>
        <v>0.77786542262258052</v>
      </c>
      <c r="AC129" s="135" t="str">
        <f t="shared" si="38"/>
        <v>Yes</v>
      </c>
      <c r="AD129" s="1091">
        <f t="shared" si="39"/>
        <v>0.77786542262258052</v>
      </c>
      <c r="AE129" s="649">
        <f t="shared" si="10"/>
        <v>0.37223532617222466</v>
      </c>
      <c r="AF129" s="530">
        <f t="shared" si="11"/>
        <v>266.33740786604682</v>
      </c>
      <c r="AG129" s="527">
        <f t="shared" si="40"/>
        <v>2228.8062963921584</v>
      </c>
      <c r="AH129" s="528">
        <f t="shared" si="80"/>
        <v>10484.516048756612</v>
      </c>
      <c r="AI129" s="528">
        <f t="shared" si="81"/>
        <v>6437.6604656145792</v>
      </c>
      <c r="AJ129" s="528">
        <f t="shared" si="12"/>
        <v>860.10790382401149</v>
      </c>
      <c r="AK129" s="528">
        <f t="shared" si="41"/>
        <v>20011.090714587364</v>
      </c>
      <c r="AL129" s="716">
        <f t="shared" si="13"/>
        <v>0</v>
      </c>
      <c r="AM129" s="417">
        <f t="shared" si="42"/>
        <v>0.11137855143335285</v>
      </c>
      <c r="AN129" s="417">
        <f t="shared" si="43"/>
        <v>0.52393526161538895</v>
      </c>
      <c r="AO129" s="417">
        <f t="shared" si="44"/>
        <v>0.3217046265709923</v>
      </c>
      <c r="AP129" s="417">
        <f t="shared" si="45"/>
        <v>4.2981560380265717E-2</v>
      </c>
      <c r="AQ129" s="417">
        <f t="shared" si="46"/>
        <v>0.99999999999999978</v>
      </c>
      <c r="AR129" s="1086">
        <f t="shared" si="14"/>
        <v>492.72254614683573</v>
      </c>
      <c r="AS129" s="938">
        <f t="shared" si="15"/>
        <v>624.90548800354009</v>
      </c>
      <c r="AT129" s="938">
        <f t="shared" si="16"/>
        <v>118.32367330140767</v>
      </c>
      <c r="AU129" s="938">
        <f t="shared" si="17"/>
        <v>0</v>
      </c>
      <c r="AV129" s="938">
        <f t="shared" si="18"/>
        <v>0</v>
      </c>
      <c r="AW129" s="938">
        <f t="shared" si="19"/>
        <v>0</v>
      </c>
      <c r="AX129" s="938">
        <f t="shared" si="20"/>
        <v>826.33304457350323</v>
      </c>
      <c r="AY129" s="938">
        <f t="shared" si="21"/>
        <v>66.560680197147207</v>
      </c>
      <c r="AZ129" s="938">
        <f t="shared" si="22"/>
        <v>18.710224690711819</v>
      </c>
      <c r="BA129" s="938">
        <f t="shared" si="23"/>
        <v>48.324865895607729</v>
      </c>
      <c r="BB129" s="938">
        <f t="shared" si="24"/>
        <v>32.925773583404499</v>
      </c>
      <c r="BC129" s="530">
        <f t="shared" si="47"/>
        <v>2228.8062963921579</v>
      </c>
      <c r="BD129" s="724">
        <f t="shared" si="48"/>
        <v>0</v>
      </c>
      <c r="BE129" s="436">
        <f t="shared" si="49"/>
        <v>0.22107015174195349</v>
      </c>
      <c r="BF129" s="624">
        <f t="shared" si="50"/>
        <v>0.28037675997914002</v>
      </c>
      <c r="BG129" s="624">
        <f t="shared" si="51"/>
        <v>5.3088361017708037E-2</v>
      </c>
      <c r="BH129" s="624">
        <f t="shared" si="52"/>
        <v>0</v>
      </c>
      <c r="BI129" s="624">
        <f t="shared" si="53"/>
        <v>0</v>
      </c>
      <c r="BJ129" s="624">
        <f t="shared" si="54"/>
        <v>0</v>
      </c>
      <c r="BK129" s="624">
        <f t="shared" si="55"/>
        <v>0.44546472726119851</v>
      </c>
      <c r="BL129" s="624">
        <f t="shared" si="56"/>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78.074607583858437</v>
      </c>
      <c r="BW129" s="114">
        <f t="shared" si="59"/>
        <v>0.79613412787481053</v>
      </c>
      <c r="BX129" s="1689">
        <f t="shared" si="25"/>
        <v>0.44501889298666047</v>
      </c>
      <c r="BY129" s="527">
        <f t="shared" si="60"/>
        <v>78.074607583858437</v>
      </c>
      <c r="BZ129" s="417">
        <f t="shared" si="61"/>
        <v>0.79613412787481053</v>
      </c>
      <c r="CA129" s="544">
        <f t="shared" si="26"/>
        <v>0.44501889298666047</v>
      </c>
      <c r="CB129" s="649">
        <f t="shared" si="27"/>
        <v>0.37223532617222466</v>
      </c>
      <c r="CC129" s="525">
        <f t="shared" si="62"/>
        <v>0.43288463114800246</v>
      </c>
      <c r="CD129" s="417">
        <f t="shared" si="28"/>
        <v>0.37223532617222466</v>
      </c>
      <c r="CE129" s="525">
        <f t="shared" si="63"/>
        <v>0.43288463114800246</v>
      </c>
      <c r="CG129" s="527">
        <f t="shared" si="64"/>
        <v>1991.0107981470655</v>
      </c>
      <c r="CH129" s="528">
        <f t="shared" si="65"/>
        <v>876.73990882312989</v>
      </c>
      <c r="CI129" s="528">
        <f t="shared" si="66"/>
        <v>3339.0604661139491</v>
      </c>
      <c r="CJ129" s="528">
        <f t="shared" si="67"/>
        <v>4226.830867379248</v>
      </c>
      <c r="CK129" s="528">
        <f t="shared" si="68"/>
        <v>50.874008293218921</v>
      </c>
      <c r="CL129" s="528">
        <f t="shared" si="69"/>
        <v>10484.516048756612</v>
      </c>
      <c r="CM129" s="646">
        <f t="shared" si="70"/>
        <v>0</v>
      </c>
    </row>
    <row r="130" spans="1:91" ht="15.75" thickBot="1">
      <c r="A130" s="172">
        <f>'Input data'!A150</f>
        <v>2050</v>
      </c>
      <c r="B130" s="664">
        <f>'Input data'!B150</f>
        <v>75.517908999999989</v>
      </c>
      <c r="C130" s="239">
        <f>'Input data'!C150</f>
        <v>8654.8011856383091</v>
      </c>
      <c r="D130" s="239">
        <f>'Input data'!D150</f>
        <v>234895.35792296397</v>
      </c>
      <c r="E130" s="650">
        <f t="shared" si="88"/>
        <v>1</v>
      </c>
      <c r="F130" s="651">
        <f t="shared" si="89"/>
        <v>0.36725000000000002</v>
      </c>
      <c r="G130" s="659">
        <f>B130*F130*'Input data'!$C$9</f>
        <v>848.85557964503187</v>
      </c>
      <c r="H130" s="654">
        <f>'Input data'!I150</f>
        <v>424.26313389388866</v>
      </c>
      <c r="I130" s="667">
        <f>'Input data'!K150</f>
        <v>32039.464737453494</v>
      </c>
      <c r="J130" s="667">
        <f t="shared" si="91"/>
        <v>2228.8062963921584</v>
      </c>
      <c r="K130" s="659">
        <f t="shared" si="73"/>
        <v>12660.52403468097</v>
      </c>
      <c r="L130" s="651">
        <f t="shared" si="93"/>
        <v>0.7</v>
      </c>
      <c r="M130" s="651">
        <f t="shared" si="93"/>
        <v>0.6</v>
      </c>
      <c r="N130" s="651">
        <f t="shared" si="93"/>
        <v>0.9</v>
      </c>
      <c r="O130" s="651">
        <f t="shared" si="93"/>
        <v>0.9</v>
      </c>
      <c r="P130" s="651">
        <f t="shared" si="93"/>
        <v>0.23600000000000002</v>
      </c>
      <c r="Q130" s="670">
        <f t="shared" si="31"/>
        <v>343.0585010865243</v>
      </c>
      <c r="R130" s="667">
        <f t="shared" si="32"/>
        <v>239.39688449876871</v>
      </c>
      <c r="S130" s="667">
        <f t="shared" si="33"/>
        <v>701.05321896677469</v>
      </c>
      <c r="T130" s="667">
        <f t="shared" si="34"/>
        <v>472.04535139806285</v>
      </c>
      <c r="U130" s="659">
        <f t="shared" si="35"/>
        <v>0</v>
      </c>
      <c r="V130" s="667">
        <f t="shared" si="9"/>
        <v>1755.5539559501306</v>
      </c>
      <c r="W130" s="650">
        <f t="shared" si="86"/>
        <v>0.5</v>
      </c>
      <c r="X130" s="659">
        <f t="shared" si="36"/>
        <v>3033.4854703020706</v>
      </c>
      <c r="Y130" s="667">
        <f t="shared" si="77"/>
        <v>4789.0394262522013</v>
      </c>
      <c r="Z130" s="667">
        <f t="shared" si="78"/>
        <v>10100.290904820926</v>
      </c>
      <c r="AA130" s="659">
        <f t="shared" si="79"/>
        <v>7871.4846084287674</v>
      </c>
      <c r="AB130" s="1094">
        <f t="shared" si="37"/>
        <v>0.77933246503540443</v>
      </c>
      <c r="AC130" s="1105" t="str">
        <f t="shared" si="38"/>
        <v>Yes</v>
      </c>
      <c r="AD130" s="1094">
        <f t="shared" si="39"/>
        <v>0.77933246503540443</v>
      </c>
      <c r="AE130" s="650">
        <f t="shared" si="10"/>
        <v>0.37379435129462157</v>
      </c>
      <c r="AF130" s="659">
        <f t="shared" si="11"/>
        <v>265.67597098179937</v>
      </c>
      <c r="AG130" s="670">
        <f t="shared" si="40"/>
        <v>2228.8062963921584</v>
      </c>
      <c r="AH130" s="667">
        <f t="shared" si="80"/>
        <v>10538.037825460278</v>
      </c>
      <c r="AI130" s="667">
        <f t="shared" si="81"/>
        <v>6437.6604656145792</v>
      </c>
      <c r="AJ130" s="667">
        <f t="shared" si="12"/>
        <v>858.78921262314645</v>
      </c>
      <c r="AK130" s="667">
        <f t="shared" si="41"/>
        <v>20063.293800090163</v>
      </c>
      <c r="AL130" s="717">
        <f t="shared" si="13"/>
        <v>0</v>
      </c>
      <c r="AM130" s="651">
        <f t="shared" si="42"/>
        <v>0.11108875335226075</v>
      </c>
      <c r="AN130" s="651">
        <f t="shared" si="43"/>
        <v>0.52523967053769216</v>
      </c>
      <c r="AO130" s="651">
        <f t="shared" si="44"/>
        <v>0.32086757686744583</v>
      </c>
      <c r="AP130" s="651">
        <f t="shared" si="45"/>
        <v>4.2803999242601289E-2</v>
      </c>
      <c r="AQ130" s="651">
        <f t="shared" si="46"/>
        <v>1</v>
      </c>
      <c r="AR130" s="1474">
        <f t="shared" si="14"/>
        <v>493.47361379422671</v>
      </c>
      <c r="AS130" s="1475">
        <f t="shared" si="15"/>
        <v>625.85804497173024</v>
      </c>
      <c r="AT130" s="1475">
        <f t="shared" si="16"/>
        <v>118.14226305492249</v>
      </c>
      <c r="AU130" s="1475">
        <f t="shared" si="17"/>
        <v>0</v>
      </c>
      <c r="AV130" s="1475">
        <f t="shared" si="18"/>
        <v>0</v>
      </c>
      <c r="AW130" s="1475">
        <f t="shared" si="19"/>
        <v>0</v>
      </c>
      <c r="AX130" s="1475">
        <f t="shared" si="20"/>
        <v>825.06613595655131</v>
      </c>
      <c r="AY130" s="1475">
        <f t="shared" si="21"/>
        <v>66.458631392678186</v>
      </c>
      <c r="AZ130" s="1475">
        <f t="shared" si="22"/>
        <v>18.681538744964712</v>
      </c>
      <c r="BA130" s="1475">
        <f t="shared" si="23"/>
        <v>48.250775685348998</v>
      </c>
      <c r="BB130" s="1475">
        <f t="shared" si="24"/>
        <v>32.875292791735141</v>
      </c>
      <c r="BC130" s="659">
        <f t="shared" si="47"/>
        <v>2228.8062963921579</v>
      </c>
      <c r="BD130" s="725">
        <f t="shared" si="48"/>
        <v>0</v>
      </c>
      <c r="BE130" s="683">
        <f t="shared" si="49"/>
        <v>0.22140713376170404</v>
      </c>
      <c r="BF130" s="683">
        <f>AS130/BC130</f>
        <v>0.28080414434615841</v>
      </c>
      <c r="BG130" s="683">
        <f t="shared" si="51"/>
        <v>5.3006967562036801E-2</v>
      </c>
      <c r="BH130" s="683">
        <f t="shared" si="52"/>
        <v>0</v>
      </c>
      <c r="BI130" s="683">
        <f t="shared" si="53"/>
        <v>0</v>
      </c>
      <c r="BJ130" s="683">
        <f t="shared" si="54"/>
        <v>0</v>
      </c>
      <c r="BK130" s="683">
        <f t="shared" si="55"/>
        <v>0.44478175433010064</v>
      </c>
      <c r="BL130" s="683">
        <f t="shared" si="56"/>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78.975001711193556</v>
      </c>
      <c r="BW130" s="651">
        <f t="shared" si="59"/>
        <v>0.79845840302578586</v>
      </c>
      <c r="BX130" s="1690">
        <f t="shared" si="25"/>
        <v>0.23489535792296398</v>
      </c>
      <c r="BY130" s="670">
        <f t="shared" si="60"/>
        <v>78.975001711193556</v>
      </c>
      <c r="BZ130" s="651">
        <f t="shared" si="61"/>
        <v>0.79845840302578586</v>
      </c>
      <c r="CA130" s="675">
        <f t="shared" si="26"/>
        <v>0.23489535792296398</v>
      </c>
      <c r="CB130" s="650">
        <f t="shared" si="27"/>
        <v>0.37379435129462157</v>
      </c>
      <c r="CC130" s="652">
        <f t="shared" si="62"/>
        <v>0.43550183362464157</v>
      </c>
      <c r="CD130" s="651">
        <f t="shared" si="28"/>
        <v>0.37379435129462157</v>
      </c>
      <c r="CE130" s="652">
        <f t="shared" si="63"/>
        <v>0.43550183362464157</v>
      </c>
      <c r="CG130" s="670">
        <f t="shared" si="64"/>
        <v>2001.1745896713924</v>
      </c>
      <c r="CH130" s="667">
        <f t="shared" si="65"/>
        <v>881.21552576233921</v>
      </c>
      <c r="CI130" s="667">
        <f t="shared" si="66"/>
        <v>3356.1058354792422</v>
      </c>
      <c r="CJ130" s="667">
        <f t="shared" si="67"/>
        <v>4248.4081625825747</v>
      </c>
      <c r="CK130" s="667">
        <f t="shared" si="68"/>
        <v>51.13371196473107</v>
      </c>
      <c r="CL130" s="667">
        <f t="shared" si="69"/>
        <v>10538.037825460278</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19" t="s">
        <v>602</v>
      </c>
      <c r="B134" s="1898"/>
      <c r="C134" s="1898"/>
      <c r="D134" s="1899"/>
      <c r="E134" s="1826" t="s">
        <v>603</v>
      </c>
      <c r="F134" s="1827"/>
      <c r="G134" s="1827"/>
      <c r="H134" s="1827"/>
      <c r="I134" s="1828"/>
      <c r="J134" s="1829" t="s">
        <v>604</v>
      </c>
      <c r="K134" s="1830"/>
      <c r="L134" s="1831"/>
      <c r="M134" s="1832" t="s">
        <v>764</v>
      </c>
      <c r="N134" s="1834" t="s">
        <v>607</v>
      </c>
      <c r="O134" s="1835"/>
      <c r="P134" s="1813" t="s">
        <v>594</v>
      </c>
      <c r="Q134" s="1815" t="s">
        <v>772</v>
      </c>
      <c r="R134" s="1815" t="s">
        <v>775</v>
      </c>
      <c r="S134" s="1815" t="s">
        <v>774</v>
      </c>
      <c r="T134" s="1847" t="s">
        <v>776</v>
      </c>
      <c r="U134" s="1880" t="s">
        <v>777</v>
      </c>
      <c r="V134" s="1817" t="s">
        <v>767</v>
      </c>
      <c r="W134" s="1819" t="s">
        <v>768</v>
      </c>
      <c r="X134" s="1882" t="s">
        <v>592</v>
      </c>
      <c r="Y134" s="1883"/>
      <c r="Z134" s="1883"/>
      <c r="AA134" s="1883"/>
      <c r="AB134" s="1883"/>
      <c r="AC134" s="1883"/>
      <c r="AD134" s="1883"/>
      <c r="AE134" s="1884"/>
      <c r="AF134" s="1884"/>
      <c r="AG134" s="1884"/>
      <c r="AH134" s="1884"/>
      <c r="AI134" s="1884"/>
      <c r="AJ134" s="1885"/>
      <c r="AK134" s="1925" t="s">
        <v>735</v>
      </c>
      <c r="AL134" s="1926"/>
      <c r="AM134" s="1926"/>
      <c r="AN134" s="1926"/>
      <c r="AO134" s="1927"/>
    </row>
    <row r="135" spans="1:91" ht="51.6" customHeight="1">
      <c r="A135" s="1822" t="s">
        <v>217</v>
      </c>
      <c r="B135" s="703" t="s">
        <v>218</v>
      </c>
      <c r="C135" s="703" t="s">
        <v>390</v>
      </c>
      <c r="D135" s="513" t="s">
        <v>629</v>
      </c>
      <c r="E135" s="704" t="s">
        <v>786</v>
      </c>
      <c r="F135" s="704" t="s">
        <v>787</v>
      </c>
      <c r="G135" s="704" t="s">
        <v>771</v>
      </c>
      <c r="H135" s="705" t="s">
        <v>597</v>
      </c>
      <c r="I135" s="705" t="s">
        <v>626</v>
      </c>
      <c r="J135" s="1461" t="s">
        <v>326</v>
      </c>
      <c r="K135" s="1461" t="s">
        <v>765</v>
      </c>
      <c r="L135" s="706" t="s">
        <v>766</v>
      </c>
      <c r="M135" s="1833"/>
      <c r="N135" s="508" t="s">
        <v>605</v>
      </c>
      <c r="O135" s="559" t="s">
        <v>606</v>
      </c>
      <c r="P135" s="1814"/>
      <c r="Q135" s="1816"/>
      <c r="R135" s="1816"/>
      <c r="S135" s="1816"/>
      <c r="T135" s="1848"/>
      <c r="U135" s="1881"/>
      <c r="V135" s="1818"/>
      <c r="W135" s="1820"/>
      <c r="X135" s="1464" t="s">
        <v>473</v>
      </c>
      <c r="Y135" s="1465" t="s">
        <v>489</v>
      </c>
      <c r="Z135" s="1636" t="s">
        <v>814</v>
      </c>
      <c r="AA135" s="1465" t="s">
        <v>377</v>
      </c>
      <c r="AB135" s="1465" t="s">
        <v>477</v>
      </c>
      <c r="AC135" s="1465" t="s">
        <v>225</v>
      </c>
      <c r="AD135" s="713" t="s">
        <v>617</v>
      </c>
      <c r="AE135" s="1092" t="s">
        <v>473</v>
      </c>
      <c r="AF135" s="1465" t="s">
        <v>489</v>
      </c>
      <c r="AG135" s="1636" t="s">
        <v>814</v>
      </c>
      <c r="AH135" s="1465" t="s">
        <v>377</v>
      </c>
      <c r="AI135" s="1465" t="s">
        <v>477</v>
      </c>
      <c r="AJ135" s="1466" t="s">
        <v>225</v>
      </c>
      <c r="AK135" s="189" t="s">
        <v>731</v>
      </c>
      <c r="AL135" s="712" t="s">
        <v>493</v>
      </c>
      <c r="AM135" s="712" t="s">
        <v>732</v>
      </c>
      <c r="AN135" s="712" t="s">
        <v>225</v>
      </c>
      <c r="AO135" s="1183" t="s">
        <v>617</v>
      </c>
    </row>
    <row r="136" spans="1:91" ht="30" customHeight="1" thickBot="1">
      <c r="A136" s="1849"/>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688" t="s">
        <v>229</v>
      </c>
      <c r="O136" s="690" t="s">
        <v>228</v>
      </c>
      <c r="P136" s="1115" t="s">
        <v>228</v>
      </c>
      <c r="Q136" s="1116" t="s">
        <v>228</v>
      </c>
      <c r="R136" s="1116" t="s">
        <v>228</v>
      </c>
      <c r="S136" s="1117" t="s">
        <v>28</v>
      </c>
      <c r="T136" s="1848"/>
      <c r="U136" s="1117" t="s">
        <v>28</v>
      </c>
      <c r="V136" s="1116" t="s">
        <v>228</v>
      </c>
      <c r="W136" s="1496"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3117.5115237718705</v>
      </c>
      <c r="D137" s="739">
        <f>'Input data'!D117</f>
        <v>49995051</v>
      </c>
      <c r="E137" s="956">
        <f>'Input data'!J117*C137</f>
        <v>37506.923384615395</v>
      </c>
      <c r="F137" s="957">
        <f>'Input data'!L117</f>
        <v>87501.974384615402</v>
      </c>
      <c r="G137" s="957">
        <f>F137*B11</f>
        <v>68439.708347615408</v>
      </c>
      <c r="H137" s="677">
        <f t="shared" ref="H137" si="94">E137*$B$12+I137*$E$80-G137</f>
        <v>0</v>
      </c>
      <c r="I137" s="1467">
        <f>D137/1000</f>
        <v>49995.050999999999</v>
      </c>
      <c r="J137" s="649">
        <f>H17</f>
        <v>6.154773859516615E-2</v>
      </c>
      <c r="K137" s="1501">
        <f>(I137)*J137-(I137)*$J$137</f>
        <v>0</v>
      </c>
      <c r="L137" s="1501">
        <f>(E137)*$C$12*$G$12-(E137)*$C$12*$G$12</f>
        <v>0</v>
      </c>
      <c r="M137" s="1503">
        <f>L137+K137</f>
        <v>0</v>
      </c>
      <c r="N137" s="708">
        <v>0</v>
      </c>
      <c r="O137" s="1467">
        <f>N137*$E$137*($C$85)*$B$12</f>
        <v>0</v>
      </c>
      <c r="P137" s="1480">
        <f>O137+M137</f>
        <v>0</v>
      </c>
      <c r="Q137" s="1484">
        <f>E137*$B$12+(1-$J$137)*I137-P137</f>
        <v>68439.708347615408</v>
      </c>
      <c r="R137" s="1484">
        <f>Q137-G137</f>
        <v>0</v>
      </c>
      <c r="S137" s="1505">
        <f>R137/(Q137-I137*(1-J137))</f>
        <v>0</v>
      </c>
      <c r="T137" s="1489" t="str">
        <f>IF(AND(S137&gt;=0,S137&lt;=1),"Yes","No")</f>
        <v>Yes</v>
      </c>
      <c r="U137" s="1505">
        <f>IF(S137&lt;=0,0,IF(S137&gt;=1,1,S137))</f>
        <v>0</v>
      </c>
      <c r="V137" s="1533">
        <f t="shared" ref="V137:V170" si="95">AC137</f>
        <v>87501.974384615402</v>
      </c>
      <c r="W137" s="1534">
        <f>(1-V137/F137)</f>
        <v>0</v>
      </c>
      <c r="X137" s="956">
        <f>(E137*$B$12-O137-L137)*(1-U137)+I137*(1-J137)</f>
        <v>68439.708347615408</v>
      </c>
      <c r="Y137" s="1501">
        <f>I137*J137+E137*$G$12*$C$12</f>
        <v>6080.5670370000007</v>
      </c>
      <c r="Z137" s="1501">
        <f>($C$12*$H$12*E137+O137)</f>
        <v>1694.9190000000001</v>
      </c>
      <c r="AA137" s="1501">
        <f>$F$137*$D$11</f>
        <v>0</v>
      </c>
      <c r="AB137" s="1501">
        <f>E137*$E$12</f>
        <v>11286.78</v>
      </c>
      <c r="AC137" s="1501">
        <f>SUM(X137:AB137)</f>
        <v>87501.974384615402</v>
      </c>
      <c r="AD137" s="1553">
        <f>X137-G137</f>
        <v>0</v>
      </c>
      <c r="AE137" s="1536">
        <f>X137/AC137</f>
        <v>0.7821504466492184</v>
      </c>
      <c r="AF137" s="1536">
        <f>Y137/AC137</f>
        <v>6.9490626694579893E-2</v>
      </c>
      <c r="AG137" s="1536">
        <f>Z137/AC137</f>
        <v>1.9370065783315637E-2</v>
      </c>
      <c r="AH137" s="1536">
        <f>AA137/AC137</f>
        <v>0</v>
      </c>
      <c r="AI137" s="1536">
        <f>AB137/AC137</f>
        <v>0.12898886087288611</v>
      </c>
      <c r="AJ137" s="1537">
        <f>SUM(AE137:AI137)</f>
        <v>1</v>
      </c>
      <c r="AK137" s="1637">
        <f>I137*(1-$J$137)-K137</f>
        <v>46917.968670000002</v>
      </c>
      <c r="AL137" s="1638">
        <f>(E137*$C$86*$B$12-L137)*(1-U137)</f>
        <v>20017.905677615392</v>
      </c>
      <c r="AM137" s="1638">
        <f>(E137*($C$85)*$B$12-O137)*(1-U137)</f>
        <v>1503.8340000000005</v>
      </c>
      <c r="AN137" s="1638">
        <f>SUM(AK137:AM137)</f>
        <v>68439.708347615393</v>
      </c>
      <c r="AO137" s="1538">
        <f>AN137-X137</f>
        <v>0</v>
      </c>
    </row>
    <row r="138" spans="1:91">
      <c r="A138" s="127">
        <f>'Input data'!A118</f>
        <v>2018</v>
      </c>
      <c r="B138" s="662">
        <f>'Input data'!B118</f>
        <v>57.436000617299655</v>
      </c>
      <c r="C138" s="236">
        <f>'Input data'!C118</f>
        <v>3154.0370052724184</v>
      </c>
      <c r="D138" s="237">
        <f>'Input data'!D118</f>
        <v>50359792.847133137</v>
      </c>
      <c r="E138" s="1508">
        <f>'Input data'!J118*C138</f>
        <v>37946.363119089809</v>
      </c>
      <c r="F138" s="1509">
        <f>'Input data'!L118</f>
        <v>88306.155966222956</v>
      </c>
      <c r="G138" s="1509">
        <f>G137*0.94</f>
        <v>64333.325846758482</v>
      </c>
      <c r="H138" s="528">
        <f>E138*$B$12+I138*$E$80-G138</f>
        <v>4700.8289604658348</v>
      </c>
      <c r="I138" s="530">
        <f t="shared" ref="I138:I170" si="96">D138/1000</f>
        <v>50359.79284713314</v>
      </c>
      <c r="J138" s="1454">
        <f>($J$150-$J$137)/($A$150-$A$137)+J137</f>
        <v>8.7582527933999524E-2</v>
      </c>
      <c r="K138" s="1512">
        <f>(I138)*J138-(I138)*$J$137</f>
        <v>1311.106597922399</v>
      </c>
      <c r="L138" s="1512">
        <f t="shared" ref="L138:L170" si="97">(E138)*$C$12*$G$12-(E138)*$C$12*$G$12</f>
        <v>0</v>
      </c>
      <c r="M138" s="1511">
        <f>L138+K138</f>
        <v>1311.106597922399</v>
      </c>
      <c r="N138" s="1454">
        <v>0.05</v>
      </c>
      <c r="O138" s="530">
        <f t="shared" ref="O138:O170" si="98">N138*$E$137*($C$85)*$B$12</f>
        <v>75.191700000000026</v>
      </c>
      <c r="P138" s="1481">
        <f>O138+M138</f>
        <v>1386.2982979223991</v>
      </c>
      <c r="Q138" s="1364">
        <f t="shared" ref="Q138:Q170" si="99">E138*$B$12+(1-$J$137)*I138-P138</f>
        <v>67647.856509301913</v>
      </c>
      <c r="R138" s="1364">
        <f>Q138-G138</f>
        <v>3314.5306625434314</v>
      </c>
      <c r="S138" s="1514">
        <f t="shared" ref="S138:S170" si="100">R138/(Q138-I138*(1-J138))</f>
        <v>0.15275248812947445</v>
      </c>
      <c r="T138" s="135" t="str">
        <f t="shared" ref="T138:T170" si="101">IF(AND(S138&gt;=0,S138&lt;=1),"Yes","No")</f>
        <v>Yes</v>
      </c>
      <c r="U138" s="1514">
        <f t="shared" ref="U138:U170" si="102">IF(S138&lt;=0,0,IF(S138&gt;=1,1,S138))</f>
        <v>0.15275248812947445</v>
      </c>
      <c r="V138" s="1539">
        <f t="shared" si="95"/>
        <v>84991.625303679524</v>
      </c>
      <c r="W138" s="1540">
        <f t="shared" ref="W138:W170" si="103">(1-V138/F138)</f>
        <v>3.7534536819961217E-2</v>
      </c>
      <c r="X138" s="527">
        <f t="shared" ref="X138:X170" si="104">(E138*$B$12-O138-L138)*(1-U138)+I138*(1-J138)</f>
        <v>64333.325846758482</v>
      </c>
      <c r="Y138" s="1509">
        <f t="shared" ref="Y138:Y170" si="105">I138*J138+E138*$G$12*$C$12</f>
        <v>7449.3121878932852</v>
      </c>
      <c r="Z138" s="1509">
        <f t="shared" ref="Z138:Z170" si="106">($C$12*$H$12*E138+O138)</f>
        <v>1789.9687605419947</v>
      </c>
      <c r="AA138" s="1509">
        <f t="shared" ref="AA138:AA170" si="107">$F$137*$D$11</f>
        <v>0</v>
      </c>
      <c r="AB138" s="1509">
        <f t="shared" ref="AB138:AB170" si="108">E138*$E$12</f>
        <v>11419.018508485759</v>
      </c>
      <c r="AC138" s="1509">
        <f t="shared" ref="AC138:AC170" si="109">SUM(X138:AB138)</f>
        <v>84991.625303679524</v>
      </c>
      <c r="AD138" s="1535">
        <f t="shared" ref="AD138:AD170" si="110">X138-G138</f>
        <v>0</v>
      </c>
      <c r="AE138" s="1504">
        <f t="shared" ref="AE138:AE170" si="111">X138/AC138</f>
        <v>0.75693723489687537</v>
      </c>
      <c r="AF138" s="1504">
        <f t="shared" ref="AF138:AF170" si="112">Y138/AC138</f>
        <v>8.7647602469966931E-2</v>
      </c>
      <c r="AG138" s="1504">
        <f t="shared" ref="AG138:AG170" si="113">Z138/AC138</f>
        <v>2.1060531012865594E-2</v>
      </c>
      <c r="AH138" s="1504">
        <f>AA138/AC138</f>
        <v>0</v>
      </c>
      <c r="AI138" s="1504">
        <f t="shared" ref="AI138:AI169" si="114">AB138/AC138</f>
        <v>0.1343546316202921</v>
      </c>
      <c r="AJ138" s="1541">
        <f t="shared" ref="AJ138:AJ170" si="115">SUM(AE138:AI138)</f>
        <v>1</v>
      </c>
      <c r="AK138" s="1555">
        <f t="shared" ref="AK138:AK170" si="116">I138*(1-$J$137)-K138</f>
        <v>45949.154883348674</v>
      </c>
      <c r="AL138" s="1556">
        <f t="shared" ref="AL138:AL170" si="117">(E138*$C$86*$B$12-L138)*(1-U138)</f>
        <v>17158.829451148249</v>
      </c>
      <c r="AM138" s="1556">
        <f t="shared" ref="AM138:AM170" si="118">(E138*($C$85)*$B$12-O138)*(1-U138)</f>
        <v>1225.3415122615597</v>
      </c>
      <c r="AN138" s="1556">
        <f t="shared" ref="AN138:AN170" si="119">SUM(AK138:AM138)</f>
        <v>64333.325846758489</v>
      </c>
      <c r="AO138" s="1543">
        <f t="shared" ref="AO138:AO170" si="120">AN138-X138</f>
        <v>0</v>
      </c>
    </row>
    <row r="139" spans="1:91">
      <c r="A139" s="873">
        <f>'Input data'!A119</f>
        <v>2019</v>
      </c>
      <c r="B139" s="1551">
        <f>'Input data'!B119</f>
        <v>58.364834921819444</v>
      </c>
      <c r="C139" s="1550">
        <f>'Input data'!C119</f>
        <v>4454.6933079776372</v>
      </c>
      <c r="D139" s="1552">
        <f>'Input data'!D119</f>
        <v>53709279.804327965</v>
      </c>
      <c r="E139" s="1508">
        <f>'Input data'!J119*C139</f>
        <v>53594.618441738487</v>
      </c>
      <c r="F139" s="1509">
        <f>'Input data'!L119</f>
        <v>107303.89824606644</v>
      </c>
      <c r="G139" s="1509">
        <f>G137*0.89</f>
        <v>60911.340429377713</v>
      </c>
      <c r="H139" s="1509">
        <f t="shared" ref="H139:H170" si="121">E139*$B$12+I139*$E$80-G139</f>
        <v>20245.228303009062</v>
      </c>
      <c r="I139" s="1511">
        <f t="shared" si="96"/>
        <v>53709.279804327962</v>
      </c>
      <c r="J139" s="1454">
        <f t="shared" ref="J139:J149" si="122">($J$150-$J$137)/($A$150-$A$137)+J138</f>
        <v>0.11361731727283289</v>
      </c>
      <c r="K139" s="1512">
        <f t="shared" ref="K139:K170" si="123">(I139)*J139-(I139)*$J$137</f>
        <v>2796.619570492272</v>
      </c>
      <c r="L139" s="1512">
        <f t="shared" si="97"/>
        <v>0</v>
      </c>
      <c r="M139" s="1511">
        <f t="shared" ref="M139:M170" si="124">L139+K139</f>
        <v>2796.619570492272</v>
      </c>
      <c r="N139" s="1454">
        <v>0.1</v>
      </c>
      <c r="O139" s="530">
        <f t="shared" si="98"/>
        <v>150.38340000000005</v>
      </c>
      <c r="P139" s="1481">
        <f>O139+M139</f>
        <v>2947.0029704922722</v>
      </c>
      <c r="Q139" s="1364">
        <f t="shared" si="99"/>
        <v>78209.565761894497</v>
      </c>
      <c r="R139" s="1364">
        <f t="shared" ref="R139:R170" si="125">Q139-G139</f>
        <v>17298.225332516784</v>
      </c>
      <c r="S139" s="1514">
        <f t="shared" si="100"/>
        <v>0.5652536336289522</v>
      </c>
      <c r="T139" s="135" t="str">
        <f t="shared" si="101"/>
        <v>Yes</v>
      </c>
      <c r="U139" s="1514">
        <f t="shared" si="102"/>
        <v>0.5652536336289522</v>
      </c>
      <c r="V139" s="1539">
        <f t="shared" si="95"/>
        <v>90005.672913549672</v>
      </c>
      <c r="W139" s="1540">
        <f t="shared" si="103"/>
        <v>0.16120779967237486</v>
      </c>
      <c r="X139" s="527">
        <f t="shared" si="104"/>
        <v>60911.340429377713</v>
      </c>
      <c r="Y139" s="1509">
        <f t="shared" si="105"/>
        <v>10394.061707488836</v>
      </c>
      <c r="Z139" s="1509">
        <f t="shared" si="106"/>
        <v>2572.2972467623063</v>
      </c>
      <c r="AA139" s="1509">
        <f t="shared" si="107"/>
        <v>0</v>
      </c>
      <c r="AB139" s="1509">
        <f t="shared" si="108"/>
        <v>16127.973529920817</v>
      </c>
      <c r="AC139" s="1509">
        <f t="shared" si="109"/>
        <v>90005.672913549672</v>
      </c>
      <c r="AD139" s="1535">
        <f t="shared" si="110"/>
        <v>0</v>
      </c>
      <c r="AE139" s="1504">
        <f t="shared" si="111"/>
        <v>0.67675001427835524</v>
      </c>
      <c r="AF139" s="1504">
        <f t="shared" si="112"/>
        <v>0.11548229540456098</v>
      </c>
      <c r="AG139" s="1504">
        <f t="shared" si="113"/>
        <v>2.8579279099807346E-2</v>
      </c>
      <c r="AH139" s="1504">
        <f t="shared" ref="AH139:AH170" si="126">AA139/AC139</f>
        <v>0</v>
      </c>
      <c r="AI139" s="1504">
        <f t="shared" si="114"/>
        <v>0.17918841121727644</v>
      </c>
      <c r="AJ139" s="1541">
        <f t="shared" si="115"/>
        <v>1</v>
      </c>
      <c r="AK139" s="1555">
        <f t="shared" si="116"/>
        <v>47606.975520304273</v>
      </c>
      <c r="AL139" s="1556">
        <f t="shared" si="117"/>
        <v>12435.531199729867</v>
      </c>
      <c r="AM139" s="1556">
        <f t="shared" si="118"/>
        <v>868.83370934356458</v>
      </c>
      <c r="AN139" s="1556">
        <f t="shared" si="119"/>
        <v>60911.340429377706</v>
      </c>
      <c r="AO139" s="1543">
        <f t="shared" si="120"/>
        <v>0</v>
      </c>
    </row>
    <row r="140" spans="1:91">
      <c r="A140" s="873">
        <f>'Input data'!A120</f>
        <v>2020</v>
      </c>
      <c r="B140" s="1551">
        <f>'Input data'!B120</f>
        <v>59.308690000000006</v>
      </c>
      <c r="C140" s="1550">
        <f>'Input data'!C120</f>
        <v>4168.5687090306074</v>
      </c>
      <c r="D140" s="1552">
        <f>'Input data'!D120</f>
        <v>50685422.165534832</v>
      </c>
      <c r="E140" s="1508">
        <f>'Input data'!J120*C140</f>
        <v>50152.240336853138</v>
      </c>
      <c r="F140" s="1509">
        <f>'Input data'!L120</f>
        <v>100837.66250238798</v>
      </c>
      <c r="G140" s="1509">
        <f>G137*0.81</f>
        <v>55436.163761568481</v>
      </c>
      <c r="H140" s="1509">
        <f t="shared" si="121"/>
        <v>20907.397866108098</v>
      </c>
      <c r="I140" s="1511">
        <f t="shared" si="96"/>
        <v>50685.42216553483</v>
      </c>
      <c r="J140" s="1454">
        <f t="shared" si="122"/>
        <v>0.13965210661166627</v>
      </c>
      <c r="K140" s="1512">
        <f>(I140)*J140-(I140)*$J$137</f>
        <v>3958.7528658886044</v>
      </c>
      <c r="L140" s="1512">
        <f t="shared" si="97"/>
        <v>0</v>
      </c>
      <c r="M140" s="1511">
        <f t="shared" si="124"/>
        <v>3958.7528658886044</v>
      </c>
      <c r="N140" s="1454">
        <f>($N$142-$N$137)/($A$102-$A$97)+N139</f>
        <v>0.2</v>
      </c>
      <c r="O140" s="530">
        <f t="shared" si="98"/>
        <v>300.7668000000001</v>
      </c>
      <c r="P140" s="1481">
        <f t="shared" ref="P140:P170" si="127">O140+M140</f>
        <v>4259.5196658886043</v>
      </c>
      <c r="Q140" s="1364">
        <f t="shared" si="99"/>
        <v>72084.041961787982</v>
      </c>
      <c r="R140" s="1364">
        <f t="shared" si="125"/>
        <v>16647.8782002195</v>
      </c>
      <c r="S140" s="1514">
        <f t="shared" si="100"/>
        <v>0.58460897917464583</v>
      </c>
      <c r="T140" s="135" t="str">
        <f t="shared" si="101"/>
        <v>Yes</v>
      </c>
      <c r="U140" s="1514">
        <f t="shared" si="102"/>
        <v>0.58460897917464583</v>
      </c>
      <c r="V140" s="1539">
        <f t="shared" si="95"/>
        <v>84189.784302168482</v>
      </c>
      <c r="W140" s="1540">
        <f t="shared" si="103"/>
        <v>0.1650958360902629</v>
      </c>
      <c r="X140" s="527">
        <f t="shared" si="104"/>
        <v>55436.163761568474</v>
      </c>
      <c r="Y140" s="1509">
        <f t="shared" si="105"/>
        <v>11094.424163415901</v>
      </c>
      <c r="Z140" s="1509">
        <f t="shared" si="106"/>
        <v>2567.1213118810192</v>
      </c>
      <c r="AA140" s="1509">
        <f t="shared" si="107"/>
        <v>0</v>
      </c>
      <c r="AB140" s="1509">
        <f t="shared" si="108"/>
        <v>15092.075065303088</v>
      </c>
      <c r="AC140" s="1509">
        <f t="shared" si="109"/>
        <v>84189.784302168482</v>
      </c>
      <c r="AD140" s="1535">
        <f t="shared" si="110"/>
        <v>0</v>
      </c>
      <c r="AE140" s="1504">
        <f t="shared" si="111"/>
        <v>0.65846663251447002</v>
      </c>
      <c r="AF140" s="1504">
        <f t="shared" si="112"/>
        <v>0.13177874554941865</v>
      </c>
      <c r="AG140" s="1504">
        <f t="shared" si="113"/>
        <v>3.0492076124904594E-2</v>
      </c>
      <c r="AH140" s="1504">
        <f t="shared" si="126"/>
        <v>0</v>
      </c>
      <c r="AI140" s="1504">
        <f t="shared" si="114"/>
        <v>0.17926254581120671</v>
      </c>
      <c r="AJ140" s="1541">
        <f t="shared" si="115"/>
        <v>1</v>
      </c>
      <c r="AK140" s="1555">
        <f t="shared" si="116"/>
        <v>43607.096185616247</v>
      </c>
      <c r="AL140" s="1556">
        <f t="shared" si="117"/>
        <v>11118.716060892888</v>
      </c>
      <c r="AM140" s="1556">
        <f t="shared" si="118"/>
        <v>710.35151505933902</v>
      </c>
      <c r="AN140" s="1556">
        <f t="shared" si="119"/>
        <v>55436.163761568474</v>
      </c>
      <c r="AO140" s="1543">
        <f t="shared" si="120"/>
        <v>0</v>
      </c>
    </row>
    <row r="141" spans="1:91">
      <c r="A141" s="873">
        <f>'Input data'!A121</f>
        <v>2021</v>
      </c>
      <c r="B141" s="1551">
        <f>'Input data'!B121</f>
        <v>59.991580449204264</v>
      </c>
      <c r="C141" s="1550">
        <f>'Input data'!C121</f>
        <v>4297.0962474291</v>
      </c>
      <c r="D141" s="1552">
        <f>'Input data'!D121</f>
        <v>50618072.007836998</v>
      </c>
      <c r="E141" s="1508">
        <f>'Input data'!J121*C141</f>
        <v>51698.561015627391</v>
      </c>
      <c r="F141" s="1509">
        <f>'Input data'!L121</f>
        <v>102316.63302346438</v>
      </c>
      <c r="G141" s="1509">
        <f>G137*0.65</f>
        <v>44485.810425950018</v>
      </c>
      <c r="H141" s="1509">
        <f t="shared" si="121"/>
        <v>32681.836108810101</v>
      </c>
      <c r="I141" s="1511">
        <f t="shared" si="96"/>
        <v>50618.072007837</v>
      </c>
      <c r="J141" s="1454">
        <f t="shared" si="122"/>
        <v>0.16568689595049965</v>
      </c>
      <c r="K141" s="1512">
        <f t="shared" si="123"/>
        <v>5271.3233658477393</v>
      </c>
      <c r="L141" s="1512">
        <f t="shared" si="97"/>
        <v>0</v>
      </c>
      <c r="M141" s="1511">
        <f t="shared" si="124"/>
        <v>5271.3233658477393</v>
      </c>
      <c r="N141" s="1454">
        <v>0.4</v>
      </c>
      <c r="O141" s="530">
        <f t="shared" si="98"/>
        <v>601.53360000000021</v>
      </c>
      <c r="P141" s="1481">
        <f t="shared" si="127"/>
        <v>5872.856965847739</v>
      </c>
      <c r="Q141" s="1364">
        <f t="shared" si="99"/>
        <v>71294.789568912383</v>
      </c>
      <c r="R141" s="1364">
        <f t="shared" si="125"/>
        <v>26808.979142962366</v>
      </c>
      <c r="S141" s="1514">
        <f t="shared" si="100"/>
        <v>0.92242874846431089</v>
      </c>
      <c r="T141" s="135" t="str">
        <f t="shared" si="101"/>
        <v>Yes</v>
      </c>
      <c r="U141" s="1514">
        <f t="shared" si="102"/>
        <v>0.92242874846431089</v>
      </c>
      <c r="V141" s="1539">
        <f t="shared" si="95"/>
        <v>75507.653880502039</v>
      </c>
      <c r="W141" s="1540">
        <f t="shared" si="103"/>
        <v>0.26201975525146737</v>
      </c>
      <c r="X141" s="527">
        <f t="shared" si="104"/>
        <v>44485.810425950018</v>
      </c>
      <c r="Y141" s="1509">
        <f t="shared" si="105"/>
        <v>12526.675899139518</v>
      </c>
      <c r="Z141" s="1509">
        <f t="shared" si="106"/>
        <v>2937.7655654826231</v>
      </c>
      <c r="AA141" s="1509">
        <f t="shared" si="107"/>
        <v>0</v>
      </c>
      <c r="AB141" s="1509">
        <f t="shared" si="108"/>
        <v>15557.401989929876</v>
      </c>
      <c r="AC141" s="1509">
        <f t="shared" si="109"/>
        <v>75507.653880502039</v>
      </c>
      <c r="AD141" s="1535">
        <f t="shared" si="110"/>
        <v>0</v>
      </c>
      <c r="AE141" s="1504">
        <f t="shared" si="111"/>
        <v>0.58915630588063295</v>
      </c>
      <c r="AF141" s="1504">
        <f t="shared" si="112"/>
        <v>0.16589941887168366</v>
      </c>
      <c r="AG141" s="1504">
        <f t="shared" si="113"/>
        <v>3.8906857974052717E-2</v>
      </c>
      <c r="AH141" s="1504">
        <f t="shared" si="126"/>
        <v>0</v>
      </c>
      <c r="AI141" s="1504">
        <f t="shared" si="114"/>
        <v>0.20603741727363067</v>
      </c>
      <c r="AJ141" s="1541">
        <f t="shared" si="115"/>
        <v>1</v>
      </c>
      <c r="AK141" s="1555">
        <f t="shared" si="116"/>
        <v>42231.320777859612</v>
      </c>
      <c r="AL141" s="1556">
        <f t="shared" si="117"/>
        <v>2140.3581499506654</v>
      </c>
      <c r="AM141" s="1556">
        <f t="shared" si="118"/>
        <v>114.13149813973843</v>
      </c>
      <c r="AN141" s="1556">
        <f t="shared" si="119"/>
        <v>44485.810425950018</v>
      </c>
      <c r="AO141" s="1543">
        <f t="shared" si="120"/>
        <v>0</v>
      </c>
    </row>
    <row r="142" spans="1:91">
      <c r="A142" s="873">
        <f>'Input data'!A122</f>
        <v>2022</v>
      </c>
      <c r="B142" s="1551">
        <f>'Input data'!B122</f>
        <v>60.682333816399378</v>
      </c>
      <c r="C142" s="1550">
        <f>'Input data'!C122</f>
        <v>4398.6096135141943</v>
      </c>
      <c r="D142" s="1552">
        <f>'Input data'!D122</f>
        <v>50359792.847133137</v>
      </c>
      <c r="E142" s="1508">
        <f>'Input data'!J122*C142</f>
        <v>52919.872954728555</v>
      </c>
      <c r="F142" s="1509">
        <f>'Input data'!L122</f>
        <v>103279.6658018617</v>
      </c>
      <c r="G142" s="1557">
        <f>G137*(1-E4)</f>
        <v>34219.854173807704</v>
      </c>
      <c r="H142" s="1509">
        <f t="shared" si="121"/>
        <v>43406.207184595216</v>
      </c>
      <c r="I142" s="1511">
        <f t="shared" si="96"/>
        <v>50359.79284713314</v>
      </c>
      <c r="J142" s="1454">
        <f t="shared" si="122"/>
        <v>0.19172168528933303</v>
      </c>
      <c r="K142" s="1512">
        <f t="shared" si="123"/>
        <v>6555.5329896119965</v>
      </c>
      <c r="L142" s="1512">
        <f t="shared" si="97"/>
        <v>0</v>
      </c>
      <c r="M142" s="1511">
        <f t="shared" si="124"/>
        <v>6555.5329896119965</v>
      </c>
      <c r="N142" s="1454">
        <f>$E$26</f>
        <v>0.5</v>
      </c>
      <c r="O142" s="530">
        <f t="shared" si="98"/>
        <v>751.91700000000026</v>
      </c>
      <c r="P142" s="1481">
        <f t="shared" si="127"/>
        <v>7307.4499896119969</v>
      </c>
      <c r="Q142" s="1364">
        <f t="shared" si="99"/>
        <v>70318.611368790924</v>
      </c>
      <c r="R142" s="1364">
        <f t="shared" si="125"/>
        <v>36098.75719498322</v>
      </c>
      <c r="S142" s="1514">
        <f t="shared" si="100"/>
        <v>1.2189808862538272</v>
      </c>
      <c r="T142" s="135" t="str">
        <f t="shared" si="101"/>
        <v>No</v>
      </c>
      <c r="U142" s="1514">
        <f t="shared" si="102"/>
        <v>1</v>
      </c>
      <c r="V142" s="1539">
        <f t="shared" si="95"/>
        <v>73665.78292472985</v>
      </c>
      <c r="W142" s="1540">
        <f t="shared" si="103"/>
        <v>0.28673488287563798</v>
      </c>
      <c r="X142" s="527">
        <f t="shared" si="104"/>
        <v>40704.728491659072</v>
      </c>
      <c r="Y142" s="1509">
        <f t="shared" si="105"/>
        <v>13892.789414552248</v>
      </c>
      <c r="Z142" s="1509">
        <f t="shared" si="106"/>
        <v>3143.3394376331189</v>
      </c>
      <c r="AA142" s="1509">
        <f t="shared" si="107"/>
        <v>0</v>
      </c>
      <c r="AB142" s="1509">
        <f t="shared" si="108"/>
        <v>15924.925580885418</v>
      </c>
      <c r="AC142" s="1509">
        <f t="shared" si="109"/>
        <v>73665.78292472985</v>
      </c>
      <c r="AD142" s="1554">
        <f t="shared" si="110"/>
        <v>6484.8743178513687</v>
      </c>
      <c r="AE142" s="1504">
        <f t="shared" si="111"/>
        <v>0.55255950423075406</v>
      </c>
      <c r="AF142" s="1504">
        <f t="shared" si="112"/>
        <v>0.18859216400031489</v>
      </c>
      <c r="AG142" s="1504">
        <f t="shared" si="113"/>
        <v>4.2670278015573625E-2</v>
      </c>
      <c r="AH142" s="1504">
        <f t="shared" si="126"/>
        <v>0</v>
      </c>
      <c r="AI142" s="1504">
        <f t="shared" si="114"/>
        <v>0.21617805375335755</v>
      </c>
      <c r="AJ142" s="1541">
        <f t="shared" si="115"/>
        <v>1.0000000000000002</v>
      </c>
      <c r="AK142" s="1555">
        <f t="shared" si="116"/>
        <v>40704.72849165908</v>
      </c>
      <c r="AL142" s="1556">
        <f t="shared" si="117"/>
        <v>0</v>
      </c>
      <c r="AM142" s="1556">
        <f t="shared" si="118"/>
        <v>0</v>
      </c>
      <c r="AN142" s="1556">
        <f t="shared" si="119"/>
        <v>40704.72849165908</v>
      </c>
      <c r="AO142" s="1543">
        <f t="shared" si="120"/>
        <v>0</v>
      </c>
    </row>
    <row r="143" spans="1:91">
      <c r="A143" s="873">
        <f>'Input data'!A123</f>
        <v>2023</v>
      </c>
      <c r="B143" s="1551">
        <f>'Input data'!B123</f>
        <v>61.381040636574369</v>
      </c>
      <c r="C143" s="1550">
        <f>'Input data'!C123</f>
        <v>4491.3837914672167</v>
      </c>
      <c r="D143" s="1552">
        <f>'Input data'!D123</f>
        <v>49695564.714711666</v>
      </c>
      <c r="E143" s="1508">
        <f>'Input data'!J123*C143</f>
        <v>54036.043322671459</v>
      </c>
      <c r="F143" s="1509">
        <f>'Input data'!L123</f>
        <v>103731.60803738312</v>
      </c>
      <c r="G143" s="1557">
        <f>($G$147-$G$142)/($A$147-$A$142)+G142</f>
        <v>32166.662923379241</v>
      </c>
      <c r="H143" s="1509">
        <f t="shared" si="121"/>
        <v>45476.518546031912</v>
      </c>
      <c r="I143" s="1511">
        <f t="shared" si="96"/>
        <v>49695.564714711669</v>
      </c>
      <c r="J143" s="1454">
        <f t="shared" si="122"/>
        <v>0.21775647462816641</v>
      </c>
      <c r="K143" s="1512">
        <f t="shared" si="123"/>
        <v>7762.8813505312773</v>
      </c>
      <c r="L143" s="1512">
        <f t="shared" si="97"/>
        <v>0</v>
      </c>
      <c r="M143" s="1511">
        <f t="shared" si="124"/>
        <v>7762.8813505312773</v>
      </c>
      <c r="N143" s="1454">
        <f>($N$147-$N$142)/($A$107-$A$102)+N142</f>
        <v>0.5</v>
      </c>
      <c r="O143" s="530">
        <f t="shared" si="98"/>
        <v>751.91700000000026</v>
      </c>
      <c r="P143" s="1481">
        <f t="shared" si="127"/>
        <v>8514.7983505312768</v>
      </c>
      <c r="Q143" s="1364">
        <f t="shared" si="99"/>
        <v>69128.383118879879</v>
      </c>
      <c r="R143" s="1364">
        <f t="shared" si="125"/>
        <v>36961.720195500639</v>
      </c>
      <c r="S143" s="1514">
        <f t="shared" si="100"/>
        <v>1.2216993903888442</v>
      </c>
      <c r="T143" s="135" t="str">
        <f t="shared" si="101"/>
        <v>No</v>
      </c>
      <c r="U143" s="1514">
        <f t="shared" si="102"/>
        <v>1</v>
      </c>
      <c r="V143" s="1539">
        <f t="shared" si="95"/>
        <v>73477.258656283419</v>
      </c>
      <c r="W143" s="1540">
        <f t="shared" si="103"/>
        <v>0.2916598899170304</v>
      </c>
      <c r="X143" s="527">
        <f t="shared" si="104"/>
        <v>38874.033737780155</v>
      </c>
      <c r="Y143" s="1509">
        <f t="shared" si="105"/>
        <v>15148.636884343905</v>
      </c>
      <c r="Z143" s="1509">
        <f t="shared" si="106"/>
        <v>3193.7786150741408</v>
      </c>
      <c r="AA143" s="1509">
        <f t="shared" si="107"/>
        <v>0</v>
      </c>
      <c r="AB143" s="1509">
        <f t="shared" si="108"/>
        <v>16260.809419085223</v>
      </c>
      <c r="AC143" s="1509">
        <f t="shared" si="109"/>
        <v>73477.258656283419</v>
      </c>
      <c r="AD143" s="1554">
        <f t="shared" si="110"/>
        <v>6707.3708144009142</v>
      </c>
      <c r="AE143" s="1504">
        <f t="shared" si="111"/>
        <v>0.52906211321284558</v>
      </c>
      <c r="AF143" s="1504">
        <f t="shared" si="112"/>
        <v>0.20616769271710531</v>
      </c>
      <c r="AG143" s="1504">
        <f t="shared" si="113"/>
        <v>4.3466218983674948E-2</v>
      </c>
      <c r="AH143" s="1504">
        <f t="shared" si="126"/>
        <v>0</v>
      </c>
      <c r="AI143" s="1504">
        <f t="shared" si="114"/>
        <v>0.22130397508637425</v>
      </c>
      <c r="AJ143" s="1541">
        <f t="shared" si="115"/>
        <v>1.0000000000000002</v>
      </c>
      <c r="AK143" s="1555">
        <f t="shared" si="116"/>
        <v>38874.033737780155</v>
      </c>
      <c r="AL143" s="1556">
        <f t="shared" si="117"/>
        <v>0</v>
      </c>
      <c r="AM143" s="1556">
        <f t="shared" si="118"/>
        <v>0</v>
      </c>
      <c r="AN143" s="1556">
        <f>SUM(AK143:AM143)</f>
        <v>38874.033737780155</v>
      </c>
      <c r="AO143" s="1543">
        <f t="shared" si="120"/>
        <v>0</v>
      </c>
    </row>
    <row r="144" spans="1:91">
      <c r="A144" s="873">
        <f>'Input data'!A124</f>
        <v>2024</v>
      </c>
      <c r="B144" s="1551">
        <f>'Input data'!B124</f>
        <v>62.087792487153699</v>
      </c>
      <c r="C144" s="1550">
        <f>'Input data'!C124</f>
        <v>4591.0468432418256</v>
      </c>
      <c r="D144" s="1552">
        <f>'Input data'!D124</f>
        <v>49925010.483280979</v>
      </c>
      <c r="E144" s="1508">
        <f>'Input data'!J124*C144</f>
        <v>55235.094045879225</v>
      </c>
      <c r="F144" s="1509">
        <f>'Input data'!L124</f>
        <v>105160.10452916021</v>
      </c>
      <c r="G144" s="1557">
        <f t="shared" ref="G144:G146" si="128">($G$147-$G$142)/($A$147-$A$142)+G143</f>
        <v>30113.471672950778</v>
      </c>
      <c r="H144" s="1509">
        <f t="shared" si="121"/>
        <v>48433.057538749388</v>
      </c>
      <c r="I144" s="1511">
        <f t="shared" si="96"/>
        <v>49925.010483280981</v>
      </c>
      <c r="J144" s="1454">
        <f t="shared" si="122"/>
        <v>0.24379126396699979</v>
      </c>
      <c r="K144" s="1512">
        <f t="shared" si="123"/>
        <v>9098.5099146988778</v>
      </c>
      <c r="L144" s="1512">
        <f t="shared" si="97"/>
        <v>0</v>
      </c>
      <c r="M144" s="1511">
        <f t="shared" si="124"/>
        <v>9098.5099146988778</v>
      </c>
      <c r="N144" s="1454">
        <f>($N$147-$N$142)/($A$107-$A$102)+N143</f>
        <v>0.5</v>
      </c>
      <c r="O144" s="530">
        <f t="shared" si="98"/>
        <v>751.91700000000026</v>
      </c>
      <c r="P144" s="1481">
        <f t="shared" si="127"/>
        <v>9850.4269146988772</v>
      </c>
      <c r="Q144" s="1364">
        <f t="shared" si="99"/>
        <v>68696.102297001285</v>
      </c>
      <c r="R144" s="1364">
        <f t="shared" si="125"/>
        <v>38582.630624050507</v>
      </c>
      <c r="S144" s="1514">
        <f t="shared" si="100"/>
        <v>1.2469189207298756</v>
      </c>
      <c r="T144" s="135" t="str">
        <f t="shared" si="101"/>
        <v>No</v>
      </c>
      <c r="U144" s="1514">
        <f t="shared" si="102"/>
        <v>1</v>
      </c>
      <c r="V144" s="1539">
        <f t="shared" si="95"/>
        <v>74217.731306155125</v>
      </c>
      <c r="W144" s="1540">
        <f t="shared" si="103"/>
        <v>0.29424060922671458</v>
      </c>
      <c r="X144" s="527">
        <f t="shared" si="104"/>
        <v>37753.729073996197</v>
      </c>
      <c r="Y144" s="1509">
        <f t="shared" si="105"/>
        <v>16594.405069823497</v>
      </c>
      <c r="Z144" s="1509">
        <f t="shared" si="106"/>
        <v>3247.9631140768552</v>
      </c>
      <c r="AA144" s="1509">
        <f t="shared" si="107"/>
        <v>0</v>
      </c>
      <c r="AB144" s="1509">
        <f t="shared" si="108"/>
        <v>16621.634048258569</v>
      </c>
      <c r="AC144" s="1509">
        <f t="shared" si="109"/>
        <v>74217.731306155125</v>
      </c>
      <c r="AD144" s="1554">
        <f t="shared" si="110"/>
        <v>7640.2574010454191</v>
      </c>
      <c r="AE144" s="1504">
        <f t="shared" si="111"/>
        <v>0.5086888053510894</v>
      </c>
      <c r="AF144" s="1504">
        <f t="shared" si="112"/>
        <v>0.22359084248169772</v>
      </c>
      <c r="AG144" s="1504">
        <f t="shared" si="113"/>
        <v>4.3762629993076743E-2</v>
      </c>
      <c r="AH144" s="1504">
        <f t="shared" si="126"/>
        <v>0</v>
      </c>
      <c r="AI144" s="1504">
        <f t="shared" si="114"/>
        <v>0.22395772217413606</v>
      </c>
      <c r="AJ144" s="1541">
        <f t="shared" si="115"/>
        <v>1</v>
      </c>
      <c r="AK144" s="1555">
        <f t="shared" si="116"/>
        <v>37753.729073996197</v>
      </c>
      <c r="AL144" s="1556">
        <f t="shared" si="117"/>
        <v>0</v>
      </c>
      <c r="AM144" s="1556">
        <f t="shared" si="118"/>
        <v>0</v>
      </c>
      <c r="AN144" s="1556">
        <f t="shared" si="119"/>
        <v>37753.729073996197</v>
      </c>
      <c r="AO144" s="1543">
        <f t="shared" si="120"/>
        <v>0</v>
      </c>
    </row>
    <row r="145" spans="1:41">
      <c r="A145" s="873">
        <f>'Input data'!A125</f>
        <v>2025</v>
      </c>
      <c r="B145" s="1551">
        <f>'Input data'!B125</f>
        <v>62.802682000000026</v>
      </c>
      <c r="C145" s="1550">
        <f>'Input data'!C125</f>
        <v>4678.7390647078637</v>
      </c>
      <c r="D145" s="1552">
        <f>'Input data'!D125</f>
        <v>50358140.956147172</v>
      </c>
      <c r="E145" s="1508">
        <f>'Input data'!J125*C145</f>
        <v>56290.12316345374</v>
      </c>
      <c r="F145" s="1509">
        <f>'Input data'!L125</f>
        <v>106648.26411960091</v>
      </c>
      <c r="G145" s="1557">
        <f t="shared" si="128"/>
        <v>28060.280422522315</v>
      </c>
      <c r="H145" s="1509">
        <f t="shared" si="121"/>
        <v>51498.104280119202</v>
      </c>
      <c r="I145" s="1511">
        <f t="shared" si="96"/>
        <v>50358.140956147174</v>
      </c>
      <c r="J145" s="1454">
        <f t="shared" si="122"/>
        <v>0.26982605330583315</v>
      </c>
      <c r="K145" s="1512">
        <f t="shared" si="123"/>
        <v>10488.508730308549</v>
      </c>
      <c r="L145" s="1512">
        <f t="shared" si="97"/>
        <v>0</v>
      </c>
      <c r="M145" s="1511">
        <f t="shared" si="124"/>
        <v>10488.508730308549</v>
      </c>
      <c r="N145" s="1454">
        <f>($N$147-$N$142)/($A$107-$A$102)+N144</f>
        <v>0.5</v>
      </c>
      <c r="O145" s="530">
        <f t="shared" si="98"/>
        <v>751.91700000000026</v>
      </c>
      <c r="P145" s="1481">
        <f t="shared" si="127"/>
        <v>11240.425730308549</v>
      </c>
      <c r="Q145" s="1364">
        <f t="shared" si="99"/>
        <v>68317.95897233297</v>
      </c>
      <c r="R145" s="1364">
        <f t="shared" si="125"/>
        <v>40257.678549810655</v>
      </c>
      <c r="S145" s="1514">
        <f t="shared" si="100"/>
        <v>1.2760868945963288</v>
      </c>
      <c r="T145" s="135" t="str">
        <f t="shared" si="101"/>
        <v>No</v>
      </c>
      <c r="U145" s="1514">
        <f t="shared" si="102"/>
        <v>1</v>
      </c>
      <c r="V145" s="1539">
        <f t="shared" si="95"/>
        <v>75100.507677399117</v>
      </c>
      <c r="W145" s="1540">
        <f t="shared" si="103"/>
        <v>0.29581125115006557</v>
      </c>
      <c r="X145" s="527">
        <f t="shared" si="104"/>
        <v>36770.202530131144</v>
      </c>
      <c r="Y145" s="1509">
        <f t="shared" si="105"/>
        <v>18095.546857208428</v>
      </c>
      <c r="Z145" s="1509">
        <f t="shared" si="106"/>
        <v>3295.6393491706608</v>
      </c>
      <c r="AA145" s="1509">
        <f t="shared" si="107"/>
        <v>0</v>
      </c>
      <c r="AB145" s="1509">
        <f t="shared" si="108"/>
        <v>16939.118940888875</v>
      </c>
      <c r="AC145" s="1509">
        <f t="shared" si="109"/>
        <v>75100.507677399117</v>
      </c>
      <c r="AD145" s="1554">
        <f t="shared" si="110"/>
        <v>8709.9221076088288</v>
      </c>
      <c r="AE145" s="1504">
        <f t="shared" si="111"/>
        <v>0.4896132352138125</v>
      </c>
      <c r="AF145" s="1504">
        <f t="shared" si="112"/>
        <v>0.24095105901200364</v>
      </c>
      <c r="AG145" s="1504">
        <f t="shared" si="113"/>
        <v>4.3883050209558787E-2</v>
      </c>
      <c r="AH145" s="1504">
        <f t="shared" si="126"/>
        <v>0</v>
      </c>
      <c r="AI145" s="1504">
        <f t="shared" si="114"/>
        <v>0.22555265556462495</v>
      </c>
      <c r="AJ145" s="1541">
        <f t="shared" si="115"/>
        <v>0.99999999999999978</v>
      </c>
      <c r="AK145" s="1555">
        <f t="shared" si="116"/>
        <v>36770.202530131151</v>
      </c>
      <c r="AL145" s="1556">
        <f t="shared" si="117"/>
        <v>0</v>
      </c>
      <c r="AM145" s="1556">
        <f t="shared" si="118"/>
        <v>0</v>
      </c>
      <c r="AN145" s="1556">
        <f t="shared" si="119"/>
        <v>36770.202530131151</v>
      </c>
      <c r="AO145" s="1543">
        <f t="shared" si="120"/>
        <v>0</v>
      </c>
    </row>
    <row r="146" spans="1:41">
      <c r="A146" s="873">
        <f>'Input data'!A126</f>
        <v>2026</v>
      </c>
      <c r="B146" s="1551">
        <f>'Input data'!B126</f>
        <v>63.421065342005143</v>
      </c>
      <c r="C146" s="1550">
        <f>'Input data'!C126</f>
        <v>4759.3318943865906</v>
      </c>
      <c r="D146" s="1552">
        <f>'Input data'!D126</f>
        <v>48568999.176537097</v>
      </c>
      <c r="E146" s="1508">
        <f>'Input data'!J126*C146</f>
        <v>57259.739174512491</v>
      </c>
      <c r="F146" s="1509">
        <f>'Input data'!L126</f>
        <v>105828.73835104959</v>
      </c>
      <c r="G146" s="1557">
        <f t="shared" si="128"/>
        <v>26007.089172093853</v>
      </c>
      <c r="H146" s="1509">
        <f t="shared" si="121"/>
        <v>52428.64395205761</v>
      </c>
      <c r="I146" s="1511">
        <f t="shared" si="96"/>
        <v>48568.999176537094</v>
      </c>
      <c r="J146" s="1454">
        <f t="shared" si="122"/>
        <v>0.2958608426446665</v>
      </c>
      <c r="K146" s="1512">
        <f t="shared" si="123"/>
        <v>11380.352957632032</v>
      </c>
      <c r="L146" s="1512">
        <f t="shared" si="97"/>
        <v>0</v>
      </c>
      <c r="M146" s="1511">
        <f t="shared" si="124"/>
        <v>11380.352957632032</v>
      </c>
      <c r="N146" s="1454">
        <f>($N$147-$N$142)/($A$107-$A$102)+N145</f>
        <v>0.5</v>
      </c>
      <c r="O146" s="530">
        <f t="shared" si="98"/>
        <v>751.91700000000026</v>
      </c>
      <c r="P146" s="1481">
        <f t="shared" si="127"/>
        <v>12132.269957632032</v>
      </c>
      <c r="Q146" s="1364">
        <f t="shared" si="99"/>
        <v>66303.463166519432</v>
      </c>
      <c r="R146" s="1364">
        <f t="shared" si="125"/>
        <v>40296.373994425579</v>
      </c>
      <c r="S146" s="1514">
        <f t="shared" si="100"/>
        <v>1.2551773006646161</v>
      </c>
      <c r="T146" s="135" t="str">
        <f t="shared" si="101"/>
        <v>No</v>
      </c>
      <c r="U146" s="1514">
        <f t="shared" si="102"/>
        <v>1</v>
      </c>
      <c r="V146" s="1539">
        <f t="shared" si="95"/>
        <v>73724.609338288879</v>
      </c>
      <c r="W146" s="1540">
        <f t="shared" si="103"/>
        <v>0.30335927190463674</v>
      </c>
      <c r="X146" s="527">
        <f t="shared" si="104"/>
        <v>34199.334153758718</v>
      </c>
      <c r="Y146" s="1509">
        <f t="shared" si="105"/>
        <v>18954.918501820048</v>
      </c>
      <c r="Z146" s="1509">
        <f t="shared" si="106"/>
        <v>3339.4558089478387</v>
      </c>
      <c r="AA146" s="1509">
        <f t="shared" si="107"/>
        <v>0</v>
      </c>
      <c r="AB146" s="1509">
        <f t="shared" si="108"/>
        <v>17230.900873762275</v>
      </c>
      <c r="AC146" s="1509">
        <f t="shared" si="109"/>
        <v>73724.609338288879</v>
      </c>
      <c r="AD146" s="1554">
        <f t="shared" si="110"/>
        <v>8192.2449816648659</v>
      </c>
      <c r="AE146" s="1504">
        <f t="shared" si="111"/>
        <v>0.46387948964006642</v>
      </c>
      <c r="AF146" s="1504">
        <f t="shared" si="112"/>
        <v>0.25710436002237058</v>
      </c>
      <c r="AG146" s="1504">
        <f t="shared" si="113"/>
        <v>4.5296351366537417E-2</v>
      </c>
      <c r="AH146" s="1504">
        <f t="shared" si="126"/>
        <v>0</v>
      </c>
      <c r="AI146" s="1504">
        <f t="shared" si="114"/>
        <v>0.23371979897102563</v>
      </c>
      <c r="AJ146" s="1541">
        <f t="shared" si="115"/>
        <v>1</v>
      </c>
      <c r="AK146" s="1555">
        <f t="shared" si="116"/>
        <v>34199.334153758711</v>
      </c>
      <c r="AL146" s="1556">
        <f t="shared" si="117"/>
        <v>0</v>
      </c>
      <c r="AM146" s="1556">
        <f t="shared" si="118"/>
        <v>0</v>
      </c>
      <c r="AN146" s="1556">
        <f t="shared" si="119"/>
        <v>34199.334153758711</v>
      </c>
      <c r="AO146" s="1543">
        <f t="shared" si="120"/>
        <v>0</v>
      </c>
    </row>
    <row r="147" spans="1:41">
      <c r="A147" s="873">
        <f>'Input data'!A127</f>
        <v>2027</v>
      </c>
      <c r="B147" s="1551">
        <f>'Input data'!B127</f>
        <v>64.045537563425796</v>
      </c>
      <c r="C147" s="1550">
        <f>'Input data'!C127</f>
        <v>4833.4252769493587</v>
      </c>
      <c r="D147" s="1552">
        <f>'Input data'!D127</f>
        <v>48190122.249078177</v>
      </c>
      <c r="E147" s="1508">
        <f>'Input data'!J127*C147</f>
        <v>58151.160040770083</v>
      </c>
      <c r="F147" s="1509">
        <f>'Input data'!L127</f>
        <v>106341.28228984826</v>
      </c>
      <c r="G147" s="1557">
        <f>G137*(1-E5)</f>
        <v>23953.89792166539</v>
      </c>
      <c r="H147" s="1509">
        <f t="shared" si="121"/>
        <v>54637.780932861067</v>
      </c>
      <c r="I147" s="1511">
        <f t="shared" si="96"/>
        <v>48190.12224907818</v>
      </c>
      <c r="J147" s="1454">
        <f t="shared" si="122"/>
        <v>0.32189563198349985</v>
      </c>
      <c r="K147" s="1512">
        <f t="shared" si="123"/>
        <v>12546.196809673773</v>
      </c>
      <c r="L147" s="1512">
        <f t="shared" si="97"/>
        <v>0</v>
      </c>
      <c r="M147" s="1511">
        <f t="shared" si="124"/>
        <v>12546.196809673773</v>
      </c>
      <c r="N147" s="1454">
        <f>$C$27</f>
        <v>0.5</v>
      </c>
      <c r="O147" s="530">
        <f t="shared" si="98"/>
        <v>751.91700000000026</v>
      </c>
      <c r="P147" s="1481">
        <f t="shared" si="127"/>
        <v>13298.113809673772</v>
      </c>
      <c r="Q147" s="1364">
        <f t="shared" si="99"/>
        <v>65293.565044852687</v>
      </c>
      <c r="R147" s="1364">
        <f t="shared" si="125"/>
        <v>41339.667123187297</v>
      </c>
      <c r="S147" s="1514">
        <f t="shared" si="100"/>
        <v>1.2674801547966901</v>
      </c>
      <c r="T147" s="135" t="str">
        <f t="shared" si="101"/>
        <v>No</v>
      </c>
      <c r="U147" s="1514">
        <f t="shared" si="102"/>
        <v>1</v>
      </c>
      <c r="V147" s="1539">
        <f t="shared" si="95"/>
        <v>73725.649637344613</v>
      </c>
      <c r="W147" s="1540">
        <f t="shared" si="103"/>
        <v>0.30670715972377605</v>
      </c>
      <c r="X147" s="527">
        <f t="shared" si="104"/>
        <v>32677.932392349045</v>
      </c>
      <c r="Y147" s="1509">
        <f t="shared" si="105"/>
        <v>20168.826661773055</v>
      </c>
      <c r="Z147" s="1509">
        <f t="shared" si="106"/>
        <v>3379.7386694672964</v>
      </c>
      <c r="AA147" s="1509">
        <f t="shared" si="107"/>
        <v>0</v>
      </c>
      <c r="AB147" s="1509">
        <f t="shared" si="108"/>
        <v>17499.151913755224</v>
      </c>
      <c r="AC147" s="1509">
        <f t="shared" si="109"/>
        <v>73725.649637344613</v>
      </c>
      <c r="AD147" s="1554">
        <f t="shared" si="110"/>
        <v>8724.0344706836549</v>
      </c>
      <c r="AE147" s="1504">
        <f t="shared" si="111"/>
        <v>0.44323695420917025</v>
      </c>
      <c r="AF147" s="1504">
        <f t="shared" si="112"/>
        <v>0.27356594022546044</v>
      </c>
      <c r="AG147" s="1504">
        <f t="shared" si="113"/>
        <v>4.5842100898292264E-2</v>
      </c>
      <c r="AH147" s="1504">
        <f t="shared" si="126"/>
        <v>0</v>
      </c>
      <c r="AI147" s="1504">
        <f t="shared" si="114"/>
        <v>0.23735500466707712</v>
      </c>
      <c r="AJ147" s="1541">
        <f t="shared" si="115"/>
        <v>1</v>
      </c>
      <c r="AK147" s="1555">
        <f t="shared" si="116"/>
        <v>32677.932392349041</v>
      </c>
      <c r="AL147" s="1556">
        <f t="shared" si="117"/>
        <v>0</v>
      </c>
      <c r="AM147" s="1556">
        <f t="shared" si="118"/>
        <v>0</v>
      </c>
      <c r="AN147" s="1556">
        <f t="shared" si="119"/>
        <v>32677.932392349041</v>
      </c>
      <c r="AO147" s="1543">
        <f t="shared" si="120"/>
        <v>0</v>
      </c>
    </row>
    <row r="148" spans="1:41">
      <c r="A148" s="873">
        <f>'Input data'!A128</f>
        <v>2028</v>
      </c>
      <c r="B148" s="1551">
        <f>'Input data'!B128</f>
        <v>64.676158618096451</v>
      </c>
      <c r="C148" s="1550">
        <f>'Input data'!C128</f>
        <v>4919.2292537742524</v>
      </c>
      <c r="D148" s="1552">
        <f>'Input data'!D128</f>
        <v>48438037.819118328</v>
      </c>
      <c r="E148" s="1508">
        <f>'Input data'!J128*C148</f>
        <v>59183.471600912402</v>
      </c>
      <c r="F148" s="1509">
        <f>'Input data'!L128</f>
        <v>107621.50942003072</v>
      </c>
      <c r="G148" s="1557">
        <f>($G$152-$G$147)/($A$152-$A$147)+G147</f>
        <v>21900.706671236927</v>
      </c>
      <c r="H148" s="1509">
        <f t="shared" si="121"/>
        <v>57515.976833630208</v>
      </c>
      <c r="I148" s="1511">
        <f t="shared" si="96"/>
        <v>48438.037819118326</v>
      </c>
      <c r="J148" s="1454">
        <f t="shared" si="122"/>
        <v>0.34793042132233321</v>
      </c>
      <c r="K148" s="1512">
        <f t="shared" si="123"/>
        <v>13871.815216679082</v>
      </c>
      <c r="L148" s="1512">
        <f t="shared" si="97"/>
        <v>0</v>
      </c>
      <c r="M148" s="1511">
        <f t="shared" si="124"/>
        <v>13871.815216679082</v>
      </c>
      <c r="N148" s="1454">
        <f>N147</f>
        <v>0.5</v>
      </c>
      <c r="O148" s="530">
        <f t="shared" si="98"/>
        <v>751.91700000000026</v>
      </c>
      <c r="P148" s="1481">
        <f t="shared" si="127"/>
        <v>14623.732216679082</v>
      </c>
      <c r="Q148" s="1364">
        <f t="shared" si="99"/>
        <v>64792.951288188051</v>
      </c>
      <c r="R148" s="1364">
        <f t="shared" si="125"/>
        <v>42892.244616951124</v>
      </c>
      <c r="S148" s="1514">
        <f t="shared" si="100"/>
        <v>1.2916246074570821</v>
      </c>
      <c r="T148" s="135" t="str">
        <f t="shared" si="101"/>
        <v>No</v>
      </c>
      <c r="U148" s="1514">
        <f t="shared" si="102"/>
        <v>1</v>
      </c>
      <c r="V148" s="1539">
        <f t="shared" si="95"/>
        <v>74413.529044528055</v>
      </c>
      <c r="W148" s="1540">
        <f t="shared" si="103"/>
        <v>0.30856267073802934</v>
      </c>
      <c r="X148" s="527">
        <f t="shared" si="104"/>
        <v>31584.970912685378</v>
      </c>
      <c r="Y148" s="1509">
        <f t="shared" si="105"/>
        <v>21592.369302358646</v>
      </c>
      <c r="Z148" s="1509">
        <f t="shared" si="106"/>
        <v>3426.3883095687434</v>
      </c>
      <c r="AA148" s="1509">
        <f t="shared" si="107"/>
        <v>0</v>
      </c>
      <c r="AB148" s="1509">
        <f t="shared" si="108"/>
        <v>17809.800519915287</v>
      </c>
      <c r="AC148" s="1509">
        <f t="shared" si="109"/>
        <v>74413.529044528055</v>
      </c>
      <c r="AD148" s="1554">
        <f t="shared" si="110"/>
        <v>9684.2642414484508</v>
      </c>
      <c r="AE148" s="1504">
        <f t="shared" si="111"/>
        <v>0.42445199573568615</v>
      </c>
      <c r="AF148" s="1504">
        <f t="shared" si="112"/>
        <v>0.29016725291227702</v>
      </c>
      <c r="AG148" s="1504">
        <f t="shared" si="113"/>
        <v>4.6045233354252542E-2</v>
      </c>
      <c r="AH148" s="1504">
        <f t="shared" si="126"/>
        <v>0</v>
      </c>
      <c r="AI148" s="1504">
        <f t="shared" si="114"/>
        <v>0.23933551799778427</v>
      </c>
      <c r="AJ148" s="1541">
        <f t="shared" si="115"/>
        <v>1</v>
      </c>
      <c r="AK148" s="1555">
        <f t="shared" si="116"/>
        <v>31584.970912685378</v>
      </c>
      <c r="AL148" s="1556">
        <f t="shared" si="117"/>
        <v>0</v>
      </c>
      <c r="AM148" s="1556">
        <f t="shared" si="118"/>
        <v>0</v>
      </c>
      <c r="AN148" s="1556">
        <f t="shared" si="119"/>
        <v>31584.970912685378</v>
      </c>
      <c r="AO148" s="1543">
        <f t="shared" si="120"/>
        <v>0</v>
      </c>
    </row>
    <row r="149" spans="1:41">
      <c r="A149" s="873">
        <f>'Input data'!A129</f>
        <v>2029</v>
      </c>
      <c r="B149" s="1551">
        <f>'Input data'!B129</f>
        <v>65.31298905018393</v>
      </c>
      <c r="C149" s="1550">
        <f>'Input data'!C129</f>
        <v>5028.6283675846353</v>
      </c>
      <c r="D149" s="1552">
        <f>'Input data'!D129</f>
        <v>47172284.942566738</v>
      </c>
      <c r="E149" s="1508">
        <f>'Input data'!J129*C149</f>
        <v>60499.65733069805</v>
      </c>
      <c r="F149" s="1509">
        <f>'Input data'!L129</f>
        <v>107671.94227326478</v>
      </c>
      <c r="G149" s="1557">
        <f t="shared" ref="G149:G151" si="129">($G$152-$G$147)/($A$152-$A$147)+G148</f>
        <v>19847.515420808464</v>
      </c>
      <c r="H149" s="1509">
        <f t="shared" si="121"/>
        <v>59136.556177329672</v>
      </c>
      <c r="I149" s="1511">
        <f t="shared" si="96"/>
        <v>47172.284942566737</v>
      </c>
      <c r="J149" s="1454">
        <f t="shared" si="122"/>
        <v>0.37396521066116656</v>
      </c>
      <c r="K149" s="1512">
        <f t="shared" si="123"/>
        <v>14737.446013333756</v>
      </c>
      <c r="L149" s="1512">
        <f t="shared" si="97"/>
        <v>0</v>
      </c>
      <c r="M149" s="1511">
        <f t="shared" si="124"/>
        <v>14737.446013333756</v>
      </c>
      <c r="N149" s="1454">
        <f t="shared" ref="N149:N170" si="130">N148</f>
        <v>0.5</v>
      </c>
      <c r="O149" s="530">
        <f t="shared" si="98"/>
        <v>751.91700000000026</v>
      </c>
      <c r="P149" s="1481">
        <f t="shared" si="127"/>
        <v>15489.363013333756</v>
      </c>
      <c r="Q149" s="1364">
        <f t="shared" si="99"/>
        <v>63494.708584804379</v>
      </c>
      <c r="R149" s="1364">
        <f t="shared" si="125"/>
        <v>43647.193163995915</v>
      </c>
      <c r="S149" s="1514">
        <f t="shared" si="100"/>
        <v>1.2851312940159219</v>
      </c>
      <c r="T149" s="135" t="str">
        <f t="shared" si="101"/>
        <v>No</v>
      </c>
      <c r="U149" s="1514">
        <f t="shared" si="102"/>
        <v>1</v>
      </c>
      <c r="V149" s="1539">
        <f t="shared" si="95"/>
        <v>73708.725155111606</v>
      </c>
      <c r="W149" s="1540">
        <f t="shared" si="103"/>
        <v>0.31543238100002513</v>
      </c>
      <c r="X149" s="527">
        <f t="shared" si="104"/>
        <v>29531.49146665119</v>
      </c>
      <c r="Y149" s="1509">
        <f t="shared" si="105"/>
        <v>22485.493578564485</v>
      </c>
      <c r="Z149" s="1509">
        <f t="shared" si="106"/>
        <v>3485.8660805942818</v>
      </c>
      <c r="AA149" s="1509">
        <f t="shared" si="107"/>
        <v>0</v>
      </c>
      <c r="AB149" s="1509">
        <f t="shared" si="108"/>
        <v>18205.874029301649</v>
      </c>
      <c r="AC149" s="1509">
        <f t="shared" si="109"/>
        <v>73708.725155111606</v>
      </c>
      <c r="AD149" s="1554">
        <f t="shared" si="110"/>
        <v>9683.9760458427263</v>
      </c>
      <c r="AE149" s="1504">
        <f t="shared" si="111"/>
        <v>0.4006512309703571</v>
      </c>
      <c r="AF149" s="1504">
        <f t="shared" si="112"/>
        <v>0.30505877738688775</v>
      </c>
      <c r="AG149" s="1504">
        <f t="shared" si="113"/>
        <v>4.729244839411717E-2</v>
      </c>
      <c r="AH149" s="1504">
        <f t="shared" si="126"/>
        <v>0</v>
      </c>
      <c r="AI149" s="1504">
        <f t="shared" si="114"/>
        <v>0.24699754324863799</v>
      </c>
      <c r="AJ149" s="1541">
        <f t="shared" si="115"/>
        <v>1</v>
      </c>
      <c r="AK149" s="1555">
        <f t="shared" si="116"/>
        <v>29531.49146665119</v>
      </c>
      <c r="AL149" s="1556">
        <f t="shared" si="117"/>
        <v>0</v>
      </c>
      <c r="AM149" s="1556">
        <f t="shared" si="118"/>
        <v>0</v>
      </c>
      <c r="AN149" s="1556">
        <f t="shared" si="119"/>
        <v>29531.49146665119</v>
      </c>
      <c r="AO149" s="1543">
        <f t="shared" si="120"/>
        <v>0</v>
      </c>
    </row>
    <row r="150" spans="1:41">
      <c r="A150" s="873">
        <f>'Input data'!A130</f>
        <v>2030</v>
      </c>
      <c r="B150" s="1551">
        <f>'Input data'!B130</f>
        <v>65.956090000000003</v>
      </c>
      <c r="C150" s="1550">
        <f>'Input data'!C130</f>
        <v>5124.9200809700387</v>
      </c>
      <c r="D150" s="1552">
        <f>'Input data'!D130</f>
        <v>46124498.893218428</v>
      </c>
      <c r="E150" s="1508">
        <f>'Input data'!J130*C150</f>
        <v>61658.147327921863</v>
      </c>
      <c r="F150" s="1509">
        <f>'Input data'!L130</f>
        <v>107782.64622114028</v>
      </c>
      <c r="G150" s="1557">
        <f t="shared" si="129"/>
        <v>17794.324170380001</v>
      </c>
      <c r="H150" s="1509">
        <f t="shared" si="121"/>
        <v>60871.200048832761</v>
      </c>
      <c r="I150" s="1511">
        <f t="shared" si="96"/>
        <v>46124.498893218428</v>
      </c>
      <c r="J150" s="1454">
        <f>$H$19</f>
        <v>0.4</v>
      </c>
      <c r="K150" s="1512">
        <f t="shared" si="123"/>
        <v>15610.940956574535</v>
      </c>
      <c r="L150" s="1512">
        <f t="shared" si="97"/>
        <v>0</v>
      </c>
      <c r="M150" s="1511">
        <f t="shared" si="124"/>
        <v>15610.940956574535</v>
      </c>
      <c r="N150" s="1454">
        <f t="shared" si="130"/>
        <v>0.5</v>
      </c>
      <c r="O150" s="530">
        <f t="shared" si="98"/>
        <v>751.91700000000026</v>
      </c>
      <c r="P150" s="1481">
        <f t="shared" si="127"/>
        <v>16362.857956574535</v>
      </c>
      <c r="Q150" s="1364">
        <f t="shared" si="99"/>
        <v>62302.666262638231</v>
      </c>
      <c r="R150" s="1364">
        <f t="shared" si="125"/>
        <v>44508.34209225823</v>
      </c>
      <c r="S150" s="1514">
        <f t="shared" si="100"/>
        <v>1.2853293462611781</v>
      </c>
      <c r="T150" s="135" t="str">
        <f t="shared" si="101"/>
        <v>No</v>
      </c>
      <c r="U150" s="1514">
        <f t="shared" si="102"/>
        <v>1</v>
      </c>
      <c r="V150" s="1539">
        <f t="shared" si="95"/>
        <v>73154.67929443311</v>
      </c>
      <c r="W150" s="1540">
        <f t="shared" si="103"/>
        <v>0.32127590239026171</v>
      </c>
      <c r="X150" s="527">
        <f t="shared" si="104"/>
        <v>27674.699335931055</v>
      </c>
      <c r="Y150" s="1509">
        <f t="shared" si="105"/>
        <v>23387.269385519867</v>
      </c>
      <c r="Z150" s="1509">
        <f t="shared" si="106"/>
        <v>3538.217660793739</v>
      </c>
      <c r="AA150" s="1509">
        <f t="shared" si="107"/>
        <v>0</v>
      </c>
      <c r="AB150" s="1509">
        <f t="shared" si="108"/>
        <v>18554.49291218846</v>
      </c>
      <c r="AC150" s="1509">
        <f t="shared" si="109"/>
        <v>73154.67929443311</v>
      </c>
      <c r="AD150" s="1554">
        <f t="shared" si="110"/>
        <v>9880.3751655510532</v>
      </c>
      <c r="AE150" s="1504">
        <f t="shared" si="111"/>
        <v>0.37830388435640411</v>
      </c>
      <c r="AF150" s="1504">
        <f t="shared" si="112"/>
        <v>0.31969615082844849</v>
      </c>
      <c r="AG150" s="1504">
        <f t="shared" si="113"/>
        <v>4.8366252096507904E-2</v>
      </c>
      <c r="AH150" s="1504">
        <f t="shared" si="126"/>
        <v>0</v>
      </c>
      <c r="AI150" s="1504">
        <f t="shared" si="114"/>
        <v>0.2536337127186396</v>
      </c>
      <c r="AJ150" s="1541">
        <f t="shared" si="115"/>
        <v>1</v>
      </c>
      <c r="AK150" s="1555">
        <f t="shared" si="116"/>
        <v>27674.699335931051</v>
      </c>
      <c r="AL150" s="1556">
        <f t="shared" si="117"/>
        <v>0</v>
      </c>
      <c r="AM150" s="1556">
        <f t="shared" si="118"/>
        <v>0</v>
      </c>
      <c r="AN150" s="1556">
        <f t="shared" si="119"/>
        <v>27674.699335931051</v>
      </c>
      <c r="AO150" s="1543">
        <f t="shared" si="120"/>
        <v>0</v>
      </c>
    </row>
    <row r="151" spans="1:41">
      <c r="A151" s="873">
        <f>'Input data'!A131</f>
        <v>2031</v>
      </c>
      <c r="B151" s="1551">
        <f>'Input data'!B131</f>
        <v>66.518977190687664</v>
      </c>
      <c r="C151" s="1550">
        <f>'Input data'!C131</f>
        <v>5062.3234119259168</v>
      </c>
      <c r="D151" s="1552">
        <f>'Input data'!D131</f>
        <v>43997076.132191785</v>
      </c>
      <c r="E151" s="1508">
        <f>'Input data'!J131*C151</f>
        <v>60905.0439465655</v>
      </c>
      <c r="F151" s="1509">
        <f>'Input data'!L131</f>
        <v>104902.12007875729</v>
      </c>
      <c r="G151" s="1557">
        <f t="shared" si="129"/>
        <v>15741.132919951538</v>
      </c>
      <c r="H151" s="1509">
        <f t="shared" si="121"/>
        <v>60495.770516089491</v>
      </c>
      <c r="I151" s="1511">
        <f t="shared" si="96"/>
        <v>43997.076132191782</v>
      </c>
      <c r="J151" s="1454">
        <f>J150</f>
        <v>0.4</v>
      </c>
      <c r="K151" s="1512">
        <f t="shared" si="123"/>
        <v>14890.909912140951</v>
      </c>
      <c r="L151" s="1512">
        <f t="shared" si="97"/>
        <v>0</v>
      </c>
      <c r="M151" s="1511">
        <f t="shared" si="124"/>
        <v>14890.909912140951</v>
      </c>
      <c r="N151" s="1454">
        <f t="shared" si="130"/>
        <v>0.5</v>
      </c>
      <c r="O151" s="530">
        <f t="shared" si="98"/>
        <v>751.91700000000026</v>
      </c>
      <c r="P151" s="1481">
        <f t="shared" si="127"/>
        <v>15642.82691214095</v>
      </c>
      <c r="Q151" s="1364">
        <f t="shared" si="99"/>
        <v>60594.076523900076</v>
      </c>
      <c r="R151" s="1364">
        <f t="shared" si="125"/>
        <v>44852.943603948537</v>
      </c>
      <c r="S151" s="1514">
        <f t="shared" si="100"/>
        <v>1.3116494758615027</v>
      </c>
      <c r="T151" s="135" t="str">
        <f t="shared" si="101"/>
        <v>No</v>
      </c>
      <c r="U151" s="1514">
        <f t="shared" si="102"/>
        <v>1</v>
      </c>
      <c r="V151" s="1539">
        <f t="shared" si="95"/>
        <v>70706.289234172262</v>
      </c>
      <c r="W151" s="1540">
        <f t="shared" si="103"/>
        <v>0.32597845323728303</v>
      </c>
      <c r="X151" s="527">
        <f t="shared" si="104"/>
        <v>26398.245679315067</v>
      </c>
      <c r="Y151" s="1509">
        <f t="shared" si="105"/>
        <v>22475.993162194154</v>
      </c>
      <c r="Z151" s="1509">
        <f t="shared" si="106"/>
        <v>3504.1852978367515</v>
      </c>
      <c r="AA151" s="1509">
        <f t="shared" si="107"/>
        <v>0</v>
      </c>
      <c r="AB151" s="1509">
        <f t="shared" si="108"/>
        <v>18327.865094826295</v>
      </c>
      <c r="AC151" s="1509">
        <f t="shared" si="109"/>
        <v>70706.289234172262</v>
      </c>
      <c r="AD151" s="1554">
        <f t="shared" si="110"/>
        <v>10657.112759363528</v>
      </c>
      <c r="AE151" s="1504">
        <f t="shared" si="111"/>
        <v>0.37335074383392797</v>
      </c>
      <c r="AF151" s="1504">
        <f t="shared" si="112"/>
        <v>0.3178782737099366</v>
      </c>
      <c r="AG151" s="1504">
        <f t="shared" si="113"/>
        <v>4.9559739816513848E-2</v>
      </c>
      <c r="AH151" s="1504">
        <f t="shared" si="126"/>
        <v>0</v>
      </c>
      <c r="AI151" s="1504">
        <f t="shared" si="114"/>
        <v>0.25921124263962164</v>
      </c>
      <c r="AJ151" s="1541">
        <f t="shared" si="115"/>
        <v>1</v>
      </c>
      <c r="AK151" s="1555">
        <f t="shared" si="116"/>
        <v>26398.245679315063</v>
      </c>
      <c r="AL151" s="1556">
        <f t="shared" si="117"/>
        <v>0</v>
      </c>
      <c r="AM151" s="1556">
        <f t="shared" si="118"/>
        <v>0</v>
      </c>
      <c r="AN151" s="1556">
        <f t="shared" si="119"/>
        <v>26398.245679315063</v>
      </c>
      <c r="AO151" s="1543">
        <f t="shared" si="120"/>
        <v>0</v>
      </c>
    </row>
    <row r="152" spans="1:41">
      <c r="A152" s="873">
        <f>'Input data'!A132</f>
        <v>2032</v>
      </c>
      <c r="B152" s="1551">
        <f>'Input data'!B132</f>
        <v>67.08666821358311</v>
      </c>
      <c r="C152" s="1550">
        <f>'Input data'!C132</f>
        <v>5235.9881649481622</v>
      </c>
      <c r="D152" s="1552">
        <f>'Input data'!D132</f>
        <v>43370376.757557131</v>
      </c>
      <c r="E152" s="1508">
        <f>'Input data'!J132*C152</f>
        <v>62994.412513945383</v>
      </c>
      <c r="F152" s="1509">
        <f>'Input data'!L132</f>
        <v>106364.78927150252</v>
      </c>
      <c r="G152" s="1557">
        <f>G137*(1-E6)</f>
        <v>13687.941669523079</v>
      </c>
      <c r="H152" s="1509">
        <f t="shared" si="121"/>
        <v>63159.728880893526</v>
      </c>
      <c r="I152" s="1511">
        <f t="shared" si="96"/>
        <v>43370.376757557133</v>
      </c>
      <c r="J152" s="1454">
        <f t="shared" ref="J152:J170" si="131">J151</f>
        <v>0.4</v>
      </c>
      <c r="K152" s="1512">
        <f t="shared" si="123"/>
        <v>14678.802091574857</v>
      </c>
      <c r="L152" s="1512">
        <f t="shared" si="97"/>
        <v>0</v>
      </c>
      <c r="M152" s="1511">
        <f t="shared" si="124"/>
        <v>14678.802091574857</v>
      </c>
      <c r="N152" s="1454">
        <f t="shared" si="130"/>
        <v>0.5</v>
      </c>
      <c r="O152" s="530">
        <f t="shared" si="98"/>
        <v>751.91700000000026</v>
      </c>
      <c r="P152" s="1481">
        <f t="shared" si="127"/>
        <v>15430.719091574856</v>
      </c>
      <c r="Q152" s="1364">
        <f t="shared" si="99"/>
        <v>61416.951458841744</v>
      </c>
      <c r="R152" s="1364">
        <f t="shared" si="125"/>
        <v>47729.009789318661</v>
      </c>
      <c r="S152" s="1514">
        <f t="shared" si="100"/>
        <v>1.3484780357558626</v>
      </c>
      <c r="T152" s="135" t="str">
        <f t="shared" si="101"/>
        <v>No</v>
      </c>
      <c r="U152" s="1514">
        <f t="shared" si="102"/>
        <v>1</v>
      </c>
      <c r="V152" s="1539">
        <f t="shared" si="95"/>
        <v>70970.063867195044</v>
      </c>
      <c r="W152" s="1540">
        <f t="shared" si="103"/>
        <v>0.33276731563826367</v>
      </c>
      <c r="X152" s="527">
        <f t="shared" si="104"/>
        <v>26022.22605453428</v>
      </c>
      <c r="Y152" s="1509">
        <f t="shared" si="105"/>
        <v>22392.626163510547</v>
      </c>
      <c r="Z152" s="1509">
        <f t="shared" si="106"/>
        <v>3598.6028123457536</v>
      </c>
      <c r="AA152" s="1509">
        <f t="shared" si="107"/>
        <v>0</v>
      </c>
      <c r="AB152" s="1509">
        <f t="shared" si="108"/>
        <v>18956.608836804473</v>
      </c>
      <c r="AC152" s="1509">
        <f t="shared" si="109"/>
        <v>70970.063867195044</v>
      </c>
      <c r="AD152" s="1554">
        <f t="shared" si="110"/>
        <v>12334.2843850112</v>
      </c>
      <c r="AE152" s="1504">
        <f t="shared" si="111"/>
        <v>0.36666482509060699</v>
      </c>
      <c r="AF152" s="1504">
        <f t="shared" si="112"/>
        <v>0.31552213628289039</v>
      </c>
      <c r="AG152" s="1504">
        <f t="shared" si="113"/>
        <v>5.0705926080040618E-2</v>
      </c>
      <c r="AH152" s="1504">
        <f t="shared" si="126"/>
        <v>0</v>
      </c>
      <c r="AI152" s="1504">
        <f t="shared" si="114"/>
        <v>0.26710711254646213</v>
      </c>
      <c r="AJ152" s="1541">
        <f t="shared" si="115"/>
        <v>1.0000000000000002</v>
      </c>
      <c r="AK152" s="1555">
        <f t="shared" si="116"/>
        <v>26022.22605453428</v>
      </c>
      <c r="AL152" s="1556">
        <f t="shared" si="117"/>
        <v>0</v>
      </c>
      <c r="AM152" s="1556">
        <f t="shared" si="118"/>
        <v>0</v>
      </c>
      <c r="AN152" s="1556">
        <f t="shared" si="119"/>
        <v>26022.22605453428</v>
      </c>
      <c r="AO152" s="1543">
        <f t="shared" si="120"/>
        <v>0</v>
      </c>
    </row>
    <row r="153" spans="1:41">
      <c r="A153" s="873">
        <f>'Input data'!A133</f>
        <v>2033</v>
      </c>
      <c r="B153" s="1551">
        <f>'Input data'!B133</f>
        <v>67.659204065895452</v>
      </c>
      <c r="C153" s="1550">
        <f>'Input data'!C133</f>
        <v>5403.9196893114931</v>
      </c>
      <c r="D153" s="1552">
        <f>'Input data'!D133</f>
        <v>42244930.407056943</v>
      </c>
      <c r="E153" s="1508">
        <f>'Input data'!J133*C153</f>
        <v>65014.804345740915</v>
      </c>
      <c r="F153" s="1509">
        <f>'Input data'!L133</f>
        <v>107259.73475279786</v>
      </c>
      <c r="G153" s="1557">
        <f>G152</f>
        <v>13687.941669523079</v>
      </c>
      <c r="H153" s="1509">
        <f t="shared" si="121"/>
        <v>63262.866425924571</v>
      </c>
      <c r="I153" s="1511">
        <f t="shared" si="96"/>
        <v>42244.930407056941</v>
      </c>
      <c r="J153" s="1454">
        <f t="shared" si="131"/>
        <v>0.4</v>
      </c>
      <c r="K153" s="1512">
        <f t="shared" si="123"/>
        <v>14297.892229158251</v>
      </c>
      <c r="L153" s="1512">
        <f t="shared" si="97"/>
        <v>0</v>
      </c>
      <c r="M153" s="1511">
        <f t="shared" si="124"/>
        <v>14297.892229158251</v>
      </c>
      <c r="N153" s="1454">
        <f t="shared" si="130"/>
        <v>0.5</v>
      </c>
      <c r="O153" s="530">
        <f t="shared" si="98"/>
        <v>751.91700000000026</v>
      </c>
      <c r="P153" s="1481">
        <f t="shared" si="127"/>
        <v>15049.809229158251</v>
      </c>
      <c r="Q153" s="1364">
        <f t="shared" si="99"/>
        <v>61900.998866289396</v>
      </c>
      <c r="R153" s="1364">
        <f t="shared" si="125"/>
        <v>48213.057196766313</v>
      </c>
      <c r="S153" s="1514">
        <f t="shared" si="100"/>
        <v>1.318952881167301</v>
      </c>
      <c r="T153" s="135" t="str">
        <f t="shared" si="101"/>
        <v>No</v>
      </c>
      <c r="U153" s="1514">
        <f t="shared" si="102"/>
        <v>1</v>
      </c>
      <c r="V153" s="1539">
        <f t="shared" si="95"/>
        <v>70705.694130742631</v>
      </c>
      <c r="W153" s="1540">
        <f t="shared" si="103"/>
        <v>0.34079928228707201</v>
      </c>
      <c r="X153" s="527">
        <f t="shared" si="104"/>
        <v>25346.958244234163</v>
      </c>
      <c r="Y153" s="1509">
        <f t="shared" si="105"/>
        <v>22104.236845708667</v>
      </c>
      <c r="Z153" s="1509">
        <f t="shared" si="106"/>
        <v>3689.9033028722483</v>
      </c>
      <c r="AA153" s="1509">
        <f t="shared" si="107"/>
        <v>0</v>
      </c>
      <c r="AB153" s="1509">
        <f t="shared" si="108"/>
        <v>19564.595737927553</v>
      </c>
      <c r="AC153" s="1509">
        <f t="shared" si="109"/>
        <v>70705.694130742631</v>
      </c>
      <c r="AD153" s="1554">
        <f t="shared" si="110"/>
        <v>11659.016574711084</v>
      </c>
      <c r="AE153" s="1504">
        <f t="shared" si="111"/>
        <v>0.35848538870666963</v>
      </c>
      <c r="AF153" s="1504">
        <f t="shared" si="112"/>
        <v>0.31262315033405219</v>
      </c>
      <c r="AG153" s="1504">
        <f t="shared" si="113"/>
        <v>5.2186791293629194E-2</v>
      </c>
      <c r="AH153" s="1504">
        <f t="shared" si="126"/>
        <v>0</v>
      </c>
      <c r="AI153" s="1504">
        <f t="shared" si="114"/>
        <v>0.27670466966564894</v>
      </c>
      <c r="AJ153" s="1541">
        <f t="shared" si="115"/>
        <v>1</v>
      </c>
      <c r="AK153" s="1555">
        <f t="shared" si="116"/>
        <v>25346.958244234163</v>
      </c>
      <c r="AL153" s="1556">
        <f t="shared" si="117"/>
        <v>0</v>
      </c>
      <c r="AM153" s="1556">
        <f t="shared" si="118"/>
        <v>0</v>
      </c>
      <c r="AN153" s="1556">
        <f t="shared" si="119"/>
        <v>25346.958244234163</v>
      </c>
      <c r="AO153" s="1543">
        <f t="shared" si="120"/>
        <v>0</v>
      </c>
    </row>
    <row r="154" spans="1:41">
      <c r="A154" s="873">
        <f>'Input data'!A134</f>
        <v>2034</v>
      </c>
      <c r="B154" s="1551">
        <f>'Input data'!B134</f>
        <v>68.236626094715163</v>
      </c>
      <c r="C154" s="1550">
        <f>'Input data'!C134</f>
        <v>5610.4237500420486</v>
      </c>
      <c r="D154" s="1552">
        <f>'Input data'!D134</f>
        <v>40465875.003352016</v>
      </c>
      <c r="E154" s="1508">
        <f>'Input data'!J134*C154</f>
        <v>67499.264122512439</v>
      </c>
      <c r="F154" s="1509">
        <f>'Input data'!L134</f>
        <v>107965.13912586446</v>
      </c>
      <c r="G154" s="1557">
        <f t="shared" ref="G154:G170" si="132">G153</f>
        <v>13687.941669523079</v>
      </c>
      <c r="H154" s="1509">
        <f t="shared" si="121"/>
        <v>63018.908567771054</v>
      </c>
      <c r="I154" s="1511">
        <f t="shared" si="96"/>
        <v>40465.875003352019</v>
      </c>
      <c r="J154" s="1454">
        <f t="shared" si="131"/>
        <v>0.4</v>
      </c>
      <c r="K154" s="1512">
        <f t="shared" si="123"/>
        <v>13695.766904609831</v>
      </c>
      <c r="L154" s="1512">
        <f t="shared" si="97"/>
        <v>0</v>
      </c>
      <c r="M154" s="1511">
        <f t="shared" si="124"/>
        <v>13695.766904609831</v>
      </c>
      <c r="N154" s="1454">
        <f t="shared" si="130"/>
        <v>0.5</v>
      </c>
      <c r="O154" s="530">
        <f t="shared" si="98"/>
        <v>751.91700000000026</v>
      </c>
      <c r="P154" s="1481">
        <f t="shared" si="127"/>
        <v>14447.68390460983</v>
      </c>
      <c r="Q154" s="1364">
        <f t="shared" si="99"/>
        <v>62259.166332684297</v>
      </c>
      <c r="R154" s="1364">
        <f t="shared" si="125"/>
        <v>48571.224663161222</v>
      </c>
      <c r="S154" s="1514">
        <f t="shared" si="100"/>
        <v>1.2788752858477939</v>
      </c>
      <c r="T154" s="135" t="str">
        <f t="shared" si="101"/>
        <v>No</v>
      </c>
      <c r="U154" s="1514">
        <f t="shared" si="102"/>
        <v>1</v>
      </c>
      <c r="V154" s="1539">
        <f t="shared" si="95"/>
        <v>69985.497795191375</v>
      </c>
      <c r="W154" s="1540">
        <f t="shared" si="103"/>
        <v>0.35177689426581371</v>
      </c>
      <c r="X154" s="527">
        <f t="shared" si="104"/>
        <v>24279.525002011211</v>
      </c>
      <c r="Y154" s="1509">
        <f t="shared" si="105"/>
        <v>21591.56560505191</v>
      </c>
      <c r="Z154" s="1509">
        <f t="shared" si="106"/>
        <v>3802.1747903841533</v>
      </c>
      <c r="AA154" s="1509">
        <f t="shared" si="107"/>
        <v>0</v>
      </c>
      <c r="AB154" s="1509">
        <f t="shared" si="108"/>
        <v>20312.232397744108</v>
      </c>
      <c r="AC154" s="1509">
        <f t="shared" si="109"/>
        <v>69985.497795191375</v>
      </c>
      <c r="AD154" s="1554">
        <f t="shared" si="110"/>
        <v>10591.583332488131</v>
      </c>
      <c r="AE154" s="1504">
        <f t="shared" si="111"/>
        <v>0.34692223056073523</v>
      </c>
      <c r="AF154" s="1504">
        <f t="shared" si="112"/>
        <v>0.3085148535806434</v>
      </c>
      <c r="AG154" s="1504">
        <f t="shared" si="113"/>
        <v>5.4328038095992459E-2</v>
      </c>
      <c r="AH154" s="1504">
        <f t="shared" si="126"/>
        <v>0</v>
      </c>
      <c r="AI154" s="1504">
        <f t="shared" si="114"/>
        <v>0.29023487776262896</v>
      </c>
      <c r="AJ154" s="1541">
        <f t="shared" si="115"/>
        <v>1</v>
      </c>
      <c r="AK154" s="1555">
        <f t="shared" si="116"/>
        <v>24279.525002011207</v>
      </c>
      <c r="AL154" s="1556">
        <f t="shared" si="117"/>
        <v>0</v>
      </c>
      <c r="AM154" s="1556">
        <f t="shared" si="118"/>
        <v>0</v>
      </c>
      <c r="AN154" s="1556">
        <f t="shared" si="119"/>
        <v>24279.525002011207</v>
      </c>
      <c r="AO154" s="1543">
        <f t="shared" si="120"/>
        <v>0</v>
      </c>
    </row>
    <row r="155" spans="1:41">
      <c r="A155" s="873">
        <f>'Input data'!A135</f>
        <v>2035</v>
      </c>
      <c r="B155" s="1551">
        <f>'Input data'!B135</f>
        <v>68.818976000000006</v>
      </c>
      <c r="C155" s="1550">
        <f>'Input data'!C135</f>
        <v>5785.6697548645852</v>
      </c>
      <c r="D155" s="1552">
        <f>'Input data'!D135</f>
        <v>33374025.316822052</v>
      </c>
      <c r="E155" s="1508">
        <f>'Input data'!J135*C155</f>
        <v>69607.656802449113</v>
      </c>
      <c r="F155" s="1509">
        <f>'Input data'!L135</f>
        <v>102981.68211927116</v>
      </c>
      <c r="G155" s="1557">
        <f t="shared" si="132"/>
        <v>13687.941669523079</v>
      </c>
      <c r="H155" s="1509">
        <f t="shared" si="121"/>
        <v>57573.356922858104</v>
      </c>
      <c r="I155" s="1511">
        <f t="shared" si="96"/>
        <v>33374.025316822052</v>
      </c>
      <c r="J155" s="1454">
        <f t="shared" si="131"/>
        <v>0.4</v>
      </c>
      <c r="K155" s="1512">
        <f t="shared" si="123"/>
        <v>11295.5143406606</v>
      </c>
      <c r="L155" s="1512">
        <f t="shared" si="97"/>
        <v>0</v>
      </c>
      <c r="M155" s="1511">
        <f t="shared" si="124"/>
        <v>11295.5143406606</v>
      </c>
      <c r="N155" s="1454">
        <f t="shared" si="130"/>
        <v>0.5</v>
      </c>
      <c r="O155" s="530">
        <f t="shared" si="98"/>
        <v>751.91700000000026</v>
      </c>
      <c r="P155" s="1481">
        <f t="shared" si="127"/>
        <v>12047.4313406606</v>
      </c>
      <c r="Q155" s="1364">
        <f t="shared" si="99"/>
        <v>59213.867251720578</v>
      </c>
      <c r="R155" s="1364">
        <f t="shared" si="125"/>
        <v>45525.925582197495</v>
      </c>
      <c r="S155" s="1514">
        <f t="shared" si="100"/>
        <v>1.1616882397489439</v>
      </c>
      <c r="T155" s="135" t="str">
        <f t="shared" si="101"/>
        <v>No</v>
      </c>
      <c r="U155" s="1514">
        <f t="shared" si="102"/>
        <v>1</v>
      </c>
      <c r="V155" s="1539">
        <f t="shared" si="95"/>
        <v>63792.230057643828</v>
      </c>
      <c r="W155" s="1540">
        <f t="shared" si="103"/>
        <v>0.38054779505581349</v>
      </c>
      <c r="X155" s="527">
        <f t="shared" si="104"/>
        <v>20024.41519009323</v>
      </c>
      <c r="Y155" s="1509">
        <f t="shared" si="105"/>
        <v>18923.661897181821</v>
      </c>
      <c r="Z155" s="1509">
        <f t="shared" si="106"/>
        <v>3897.4519949695709</v>
      </c>
      <c r="AA155" s="1509">
        <f t="shared" si="107"/>
        <v>0</v>
      </c>
      <c r="AB155" s="1509">
        <f t="shared" si="108"/>
        <v>20946.70097539921</v>
      </c>
      <c r="AC155" s="1509">
        <f t="shared" si="109"/>
        <v>63792.230057643828</v>
      </c>
      <c r="AD155" s="1554">
        <f t="shared" si="110"/>
        <v>6336.4735205701509</v>
      </c>
      <c r="AE155" s="1504">
        <f t="shared" si="111"/>
        <v>0.31390053572353249</v>
      </c>
      <c r="AF155" s="1504">
        <f t="shared" si="112"/>
        <v>0.29664524786297725</v>
      </c>
      <c r="AG155" s="1504">
        <f t="shared" si="113"/>
        <v>6.1096029899687813E-2</v>
      </c>
      <c r="AH155" s="1504">
        <f t="shared" si="126"/>
        <v>0</v>
      </c>
      <c r="AI155" s="1504">
        <f t="shared" si="114"/>
        <v>0.3283581865138025</v>
      </c>
      <c r="AJ155" s="1541">
        <f t="shared" si="115"/>
        <v>1</v>
      </c>
      <c r="AK155" s="1555">
        <f t="shared" si="116"/>
        <v>20024.41519009323</v>
      </c>
      <c r="AL155" s="1556">
        <f t="shared" si="117"/>
        <v>0</v>
      </c>
      <c r="AM155" s="1556">
        <f t="shared" si="118"/>
        <v>0</v>
      </c>
      <c r="AN155" s="1556">
        <f t="shared" si="119"/>
        <v>20024.41519009323</v>
      </c>
      <c r="AO155" s="1543">
        <f t="shared" si="120"/>
        <v>0</v>
      </c>
    </row>
    <row r="156" spans="1:41">
      <c r="A156" s="873">
        <f>'Input data'!A136</f>
        <v>2036</v>
      </c>
      <c r="B156" s="1551">
        <f>'Input data'!B136</f>
        <v>69.322810489383542</v>
      </c>
      <c r="C156" s="1550">
        <f>'Input data'!C136</f>
        <v>5959.8602057408698</v>
      </c>
      <c r="D156" s="1552">
        <f>'Input data'!D136</f>
        <v>24482482.614495005</v>
      </c>
      <c r="E156" s="1508">
        <f>'Input data'!J136*C156</f>
        <v>71703.35006469686</v>
      </c>
      <c r="F156" s="1509">
        <f>'Input data'!L136</f>
        <v>96185.832679191866</v>
      </c>
      <c r="G156" s="1557">
        <f t="shared" si="132"/>
        <v>13687.941669523079</v>
      </c>
      <c r="H156" s="1509">
        <f t="shared" si="121"/>
        <v>50431.592281149438</v>
      </c>
      <c r="I156" s="1511">
        <f t="shared" si="96"/>
        <v>24482.482614495006</v>
      </c>
      <c r="J156" s="1454">
        <f t="shared" si="131"/>
        <v>0.4</v>
      </c>
      <c r="K156" s="1512">
        <f>(I156)*J156-(I156)*$J$137</f>
        <v>8286.1516056803648</v>
      </c>
      <c r="L156" s="1512">
        <f t="shared" si="97"/>
        <v>0</v>
      </c>
      <c r="M156" s="1511">
        <f t="shared" si="124"/>
        <v>8286.1516056803648</v>
      </c>
      <c r="N156" s="1454">
        <f t="shared" si="130"/>
        <v>0.5</v>
      </c>
      <c r="O156" s="530">
        <f t="shared" si="98"/>
        <v>751.91700000000026</v>
      </c>
      <c r="P156" s="1481">
        <f t="shared" si="127"/>
        <v>9038.0686056803643</v>
      </c>
      <c r="Q156" s="1364">
        <f t="shared" si="99"/>
        <v>55081.465344992146</v>
      </c>
      <c r="R156" s="1364">
        <f t="shared" si="125"/>
        <v>41393.52367546907</v>
      </c>
      <c r="S156" s="1514">
        <f t="shared" si="100"/>
        <v>1.0247957144934146</v>
      </c>
      <c r="T156" s="135" t="str">
        <f t="shared" si="101"/>
        <v>No</v>
      </c>
      <c r="U156" s="1514">
        <f t="shared" si="102"/>
        <v>1</v>
      </c>
      <c r="V156" s="1539">
        <f t="shared" si="95"/>
        <v>55793.856902896725</v>
      </c>
      <c r="W156" s="1540">
        <f t="shared" si="103"/>
        <v>0.41993685193758523</v>
      </c>
      <c r="X156" s="527">
        <f t="shared" si="104"/>
        <v>14689.489568697003</v>
      </c>
      <c r="Y156" s="1509">
        <f t="shared" si="105"/>
        <v>15534.864037229972</v>
      </c>
      <c r="Z156" s="1509">
        <f t="shared" si="106"/>
        <v>3992.1553192580318</v>
      </c>
      <c r="AA156" s="1509">
        <f t="shared" si="107"/>
        <v>0</v>
      </c>
      <c r="AB156" s="1509">
        <f t="shared" si="108"/>
        <v>21577.347977711717</v>
      </c>
      <c r="AC156" s="1509">
        <f t="shared" si="109"/>
        <v>55793.856902896725</v>
      </c>
      <c r="AD156" s="1554">
        <f t="shared" si="110"/>
        <v>1001.5478991739237</v>
      </c>
      <c r="AE156" s="1504">
        <f t="shared" si="111"/>
        <v>0.26328148624430997</v>
      </c>
      <c r="AF156" s="1504">
        <f t="shared" si="112"/>
        <v>0.27843323440189394</v>
      </c>
      <c r="AG156" s="1504">
        <f t="shared" si="113"/>
        <v>7.1551879379945962E-2</v>
      </c>
      <c r="AH156" s="1504">
        <f t="shared" si="126"/>
        <v>0</v>
      </c>
      <c r="AI156" s="1504">
        <f t="shared" si="114"/>
        <v>0.38673339997385009</v>
      </c>
      <c r="AJ156" s="1541">
        <f t="shared" si="115"/>
        <v>1</v>
      </c>
      <c r="AK156" s="1555">
        <f t="shared" si="116"/>
        <v>14689.489568697003</v>
      </c>
      <c r="AL156" s="1556">
        <f t="shared" si="117"/>
        <v>0</v>
      </c>
      <c r="AM156" s="1556">
        <f t="shared" si="118"/>
        <v>0</v>
      </c>
      <c r="AN156" s="1556">
        <f t="shared" si="119"/>
        <v>14689.489568697003</v>
      </c>
      <c r="AO156" s="1543">
        <f t="shared" si="120"/>
        <v>0</v>
      </c>
    </row>
    <row r="157" spans="1:41">
      <c r="A157" s="873">
        <f>'Input data'!A137</f>
        <v>2037</v>
      </c>
      <c r="B157" s="1551">
        <f>'Input data'!B137</f>
        <v>69.830333629884052</v>
      </c>
      <c r="C157" s="1550">
        <f>'Input data'!C137</f>
        <v>6149.2553125491713</v>
      </c>
      <c r="D157" s="1552">
        <f>'Input data'!D137</f>
        <v>21483552.95875904</v>
      </c>
      <c r="E157" s="1508">
        <f>'Input data'!J137*C157</f>
        <v>73981.971236202691</v>
      </c>
      <c r="F157" s="1509">
        <f>'Input data'!L137</f>
        <v>95465.524194961734</v>
      </c>
      <c r="G157" s="1557">
        <f t="shared" si="132"/>
        <v>13687.941669523079</v>
      </c>
      <c r="H157" s="1509">
        <f t="shared" si="121"/>
        <v>48924.729015329154</v>
      </c>
      <c r="I157" s="1511">
        <f t="shared" si="96"/>
        <v>21483.552958759039</v>
      </c>
      <c r="J157" s="1454">
        <f t="shared" si="131"/>
        <v>0.4</v>
      </c>
      <c r="K157" s="1512">
        <f t="shared" si="123"/>
        <v>7271.1570819025073</v>
      </c>
      <c r="L157" s="1512">
        <f t="shared" si="97"/>
        <v>0</v>
      </c>
      <c r="M157" s="1511">
        <f t="shared" si="124"/>
        <v>7271.1570819025073</v>
      </c>
      <c r="N157" s="1454">
        <f t="shared" si="130"/>
        <v>0.5</v>
      </c>
      <c r="O157" s="530">
        <f t="shared" si="98"/>
        <v>751.91700000000026</v>
      </c>
      <c r="P157" s="1481">
        <f t="shared" si="127"/>
        <v>8023.0740819025077</v>
      </c>
      <c r="Q157" s="1364">
        <f t="shared" si="99"/>
        <v>54589.596602949721</v>
      </c>
      <c r="R157" s="1364">
        <f t="shared" si="125"/>
        <v>40901.654933426646</v>
      </c>
      <c r="S157" s="1514">
        <f t="shared" si="100"/>
        <v>0.98086762270057259</v>
      </c>
      <c r="T157" s="135" t="str">
        <f t="shared" si="101"/>
        <v>Yes</v>
      </c>
      <c r="U157" s="1514">
        <f t="shared" si="102"/>
        <v>0.98086762270057259</v>
      </c>
      <c r="V157" s="1539">
        <f t="shared" si="95"/>
        <v>54563.869261535088</v>
      </c>
      <c r="W157" s="1540">
        <f t="shared" si="103"/>
        <v>0.42844425019755206</v>
      </c>
      <c r="X157" s="527">
        <f t="shared" si="104"/>
        <v>13687.941669523072</v>
      </c>
      <c r="Y157" s="1509">
        <f t="shared" si="105"/>
        <v>14517.759922862664</v>
      </c>
      <c r="Z157" s="1509">
        <f t="shared" si="106"/>
        <v>4095.1250637445028</v>
      </c>
      <c r="AA157" s="1509">
        <f t="shared" si="107"/>
        <v>0</v>
      </c>
      <c r="AB157" s="1509">
        <f t="shared" si="108"/>
        <v>22263.042605404848</v>
      </c>
      <c r="AC157" s="1509">
        <f t="shared" si="109"/>
        <v>54563.869261535088</v>
      </c>
      <c r="AD157" s="1554">
        <f t="shared" si="110"/>
        <v>0</v>
      </c>
      <c r="AE157" s="1504">
        <f t="shared" si="111"/>
        <v>0.25086090584804649</v>
      </c>
      <c r="AF157" s="1504">
        <f t="shared" si="112"/>
        <v>0.26606910615660806</v>
      </c>
      <c r="AG157" s="1504">
        <f t="shared" si="113"/>
        <v>7.5051955060514181E-2</v>
      </c>
      <c r="AH157" s="1504">
        <f t="shared" si="126"/>
        <v>0</v>
      </c>
      <c r="AI157" s="1504">
        <f t="shared" si="114"/>
        <v>0.40801803293483119</v>
      </c>
      <c r="AJ157" s="1541">
        <f t="shared" si="115"/>
        <v>0.99999999999999989</v>
      </c>
      <c r="AK157" s="1555">
        <f t="shared" si="116"/>
        <v>12890.131775255421</v>
      </c>
      <c r="AL157" s="1556">
        <f t="shared" si="117"/>
        <v>755.44357662790765</v>
      </c>
      <c r="AM157" s="1556">
        <f t="shared" si="118"/>
        <v>42.366317639742377</v>
      </c>
      <c r="AN157" s="1556">
        <f t="shared" si="119"/>
        <v>13687.94166952307</v>
      </c>
      <c r="AO157" s="1543">
        <f t="shared" si="120"/>
        <v>0</v>
      </c>
    </row>
    <row r="158" spans="1:41">
      <c r="A158" s="873">
        <f>'Input data'!A138</f>
        <v>2038</v>
      </c>
      <c r="B158" s="1551">
        <f>'Input data'!B138</f>
        <v>70.341572426693446</v>
      </c>
      <c r="C158" s="1550">
        <f>'Input data'!C138</f>
        <v>6333.0462394281813</v>
      </c>
      <c r="D158" s="1552">
        <f>'Input data'!D138</f>
        <v>18854877.897592288</v>
      </c>
      <c r="E158" s="1508">
        <f>'Input data'!J138*C158</f>
        <v>76193.168263278349</v>
      </c>
      <c r="F158" s="1509">
        <f>'Input data'!L138</f>
        <v>95048.046160870639</v>
      </c>
      <c r="G158" s="1509">
        <f t="shared" si="132"/>
        <v>13687.941669523079</v>
      </c>
      <c r="H158" s="1509">
        <f t="shared" si="121"/>
        <v>47726.643556961499</v>
      </c>
      <c r="I158" s="1511">
        <f t="shared" si="96"/>
        <v>18854.877897592287</v>
      </c>
      <c r="J158" s="1454">
        <f t="shared" si="131"/>
        <v>0.4</v>
      </c>
      <c r="K158" s="1512">
        <f t="shared" si="123"/>
        <v>6381.4760629521288</v>
      </c>
      <c r="L158" s="1512">
        <f t="shared" si="97"/>
        <v>0</v>
      </c>
      <c r="M158" s="1511">
        <f t="shared" si="124"/>
        <v>6381.4760629521288</v>
      </c>
      <c r="N158" s="1454">
        <f t="shared" si="130"/>
        <v>0.5</v>
      </c>
      <c r="O158" s="530">
        <f t="shared" si="98"/>
        <v>751.91700000000026</v>
      </c>
      <c r="P158" s="1481">
        <f t="shared" si="127"/>
        <v>7133.3930629521292</v>
      </c>
      <c r="Q158" s="1364">
        <f t="shared" si="99"/>
        <v>54281.192163532454</v>
      </c>
      <c r="R158" s="1364">
        <f t="shared" si="125"/>
        <v>40593.250494009379</v>
      </c>
      <c r="S158" s="1514">
        <f t="shared" si="100"/>
        <v>0.94472630190030593</v>
      </c>
      <c r="T158" s="135" t="str">
        <f t="shared" si="101"/>
        <v>Yes</v>
      </c>
      <c r="U158" s="1514">
        <f t="shared" si="102"/>
        <v>0.94472630190030593</v>
      </c>
      <c r="V158" s="1539">
        <f t="shared" si="95"/>
        <v>54454.795666861275</v>
      </c>
      <c r="W158" s="1540">
        <f t="shared" si="103"/>
        <v>0.42708137761511178</v>
      </c>
      <c r="X158" s="527">
        <f t="shared" si="104"/>
        <v>13687.941669523078</v>
      </c>
      <c r="Y158" s="1509">
        <f t="shared" si="105"/>
        <v>13643.358446164657</v>
      </c>
      <c r="Z158" s="1509">
        <f t="shared" si="106"/>
        <v>4195.0479450616976</v>
      </c>
      <c r="AA158" s="1509">
        <f t="shared" si="107"/>
        <v>0</v>
      </c>
      <c r="AB158" s="1509">
        <f t="shared" si="108"/>
        <v>22928.447606111837</v>
      </c>
      <c r="AC158" s="1509">
        <f t="shared" si="109"/>
        <v>54454.795666861275</v>
      </c>
      <c r="AD158" s="1554">
        <f t="shared" si="110"/>
        <v>0</v>
      </c>
      <c r="AE158" s="1504">
        <f t="shared" si="111"/>
        <v>0.25136338318597234</v>
      </c>
      <c r="AF158" s="1504">
        <f t="shared" si="112"/>
        <v>0.25054466331360026</v>
      </c>
      <c r="AG158" s="1504">
        <f t="shared" si="113"/>
        <v>7.7037254362789104E-2</v>
      </c>
      <c r="AH158" s="1504">
        <f t="shared" si="126"/>
        <v>0</v>
      </c>
      <c r="AI158" s="1504">
        <f t="shared" si="114"/>
        <v>0.42105469913763816</v>
      </c>
      <c r="AJ158" s="1541">
        <f t="shared" si="115"/>
        <v>0.99999999999999989</v>
      </c>
      <c r="AK158" s="1555">
        <f t="shared" si="116"/>
        <v>11312.926738555372</v>
      </c>
      <c r="AL158" s="1556">
        <f t="shared" si="117"/>
        <v>2247.7176307674858</v>
      </c>
      <c r="AM158" s="1556">
        <f t="shared" si="118"/>
        <v>127.29730020021991</v>
      </c>
      <c r="AN158" s="1556">
        <f t="shared" si="119"/>
        <v>13687.941669523078</v>
      </c>
      <c r="AO158" s="1543">
        <f t="shared" si="120"/>
        <v>0</v>
      </c>
    </row>
    <row r="159" spans="1:41">
      <c r="A159" s="873">
        <f>'Input data'!A139</f>
        <v>2039</v>
      </c>
      <c r="B159" s="1551">
        <f>'Input data'!B139</f>
        <v>70.856554082712819</v>
      </c>
      <c r="C159" s="1550">
        <f>'Input data'!C139</f>
        <v>6520.8289920741563</v>
      </c>
      <c r="D159" s="1552">
        <f>'Input data'!D139</f>
        <v>16226202.836425532</v>
      </c>
      <c r="E159" s="1508">
        <f>'Input data'!J139*C159</f>
        <v>78452.391128290663</v>
      </c>
      <c r="F159" s="1509">
        <f>'Input data'!L139</f>
        <v>94678.593964716187</v>
      </c>
      <c r="G159" s="1509">
        <f t="shared" si="132"/>
        <v>13687.941669523079</v>
      </c>
      <c r="H159" s="1509">
        <f t="shared" si="121"/>
        <v>46556.115666333368</v>
      </c>
      <c r="I159" s="1511">
        <f t="shared" si="96"/>
        <v>16226.202836425531</v>
      </c>
      <c r="J159" s="1454">
        <f t="shared" si="131"/>
        <v>0.4</v>
      </c>
      <c r="K159" s="1512">
        <f t="shared" si="123"/>
        <v>5491.7950440017503</v>
      </c>
      <c r="L159" s="1512">
        <f t="shared" si="97"/>
        <v>0</v>
      </c>
      <c r="M159" s="1511">
        <f t="shared" si="124"/>
        <v>5491.7950440017503</v>
      </c>
      <c r="N159" s="1454">
        <f t="shared" si="130"/>
        <v>0.5</v>
      </c>
      <c r="O159" s="530">
        <f t="shared" si="98"/>
        <v>751.91700000000026</v>
      </c>
      <c r="P159" s="1481">
        <f t="shared" si="127"/>
        <v>6243.7120440017507</v>
      </c>
      <c r="Q159" s="1364">
        <f t="shared" si="99"/>
        <v>54000.34529185469</v>
      </c>
      <c r="R159" s="1364">
        <f t="shared" si="125"/>
        <v>40312.403622331607</v>
      </c>
      <c r="S159" s="1514">
        <f t="shared" si="100"/>
        <v>0.9107138015161913</v>
      </c>
      <c r="T159" s="135" t="str">
        <f t="shared" si="101"/>
        <v>Yes</v>
      </c>
      <c r="U159" s="1514">
        <f t="shared" si="102"/>
        <v>0.9107138015161913</v>
      </c>
      <c r="V159" s="1539">
        <f t="shared" si="95"/>
        <v>54366.190342384602</v>
      </c>
      <c r="W159" s="1540">
        <f t="shared" si="103"/>
        <v>0.42578160420669942</v>
      </c>
      <c r="X159" s="527">
        <f t="shared" si="104"/>
        <v>13687.941669523083</v>
      </c>
      <c r="Y159" s="1509">
        <f t="shared" si="105"/>
        <v>12772.802789298486</v>
      </c>
      <c r="Z159" s="1509">
        <f t="shared" si="106"/>
        <v>4297.1410898359891</v>
      </c>
      <c r="AA159" s="1509">
        <f t="shared" si="107"/>
        <v>0</v>
      </c>
      <c r="AB159" s="1509">
        <f t="shared" si="108"/>
        <v>23608.304793727042</v>
      </c>
      <c r="AC159" s="1509">
        <f t="shared" si="109"/>
        <v>54366.190342384602</v>
      </c>
      <c r="AD159" s="1554">
        <f t="shared" si="110"/>
        <v>0</v>
      </c>
      <c r="AE159" s="1504">
        <f t="shared" si="111"/>
        <v>0.25177305202589823</v>
      </c>
      <c r="AF159" s="1504">
        <f t="shared" si="112"/>
        <v>0.23494018449441803</v>
      </c>
      <c r="AG159" s="1504">
        <f t="shared" si="113"/>
        <v>7.9040688022715494E-2</v>
      </c>
      <c r="AH159" s="1504">
        <f t="shared" si="126"/>
        <v>0</v>
      </c>
      <c r="AI159" s="1504">
        <f t="shared" si="114"/>
        <v>0.43424607545696825</v>
      </c>
      <c r="AJ159" s="1541">
        <f t="shared" si="115"/>
        <v>1</v>
      </c>
      <c r="AK159" s="1555">
        <f t="shared" si="116"/>
        <v>9735.7217018553183</v>
      </c>
      <c r="AL159" s="1556">
        <f t="shared" si="117"/>
        <v>3738.5028374789199</v>
      </c>
      <c r="AM159" s="1556">
        <f t="shared" si="118"/>
        <v>213.7171301888435</v>
      </c>
      <c r="AN159" s="1556">
        <f t="shared" si="119"/>
        <v>13687.941669523081</v>
      </c>
      <c r="AO159" s="1543">
        <f t="shared" si="120"/>
        <v>0</v>
      </c>
    </row>
    <row r="160" spans="1:41">
      <c r="A160" s="873">
        <f>'Input data'!A140</f>
        <v>2040</v>
      </c>
      <c r="B160" s="1551">
        <f>'Input data'!B140</f>
        <v>71.375305999999995</v>
      </c>
      <c r="C160" s="1550">
        <f>'Input data'!C140</f>
        <v>6710.9821193375428</v>
      </c>
      <c r="D160" s="1552">
        <f>'Input data'!D140</f>
        <v>13597527.775258772</v>
      </c>
      <c r="E160" s="1508">
        <f>'Input data'!J140*C160</f>
        <v>80740.132078477691</v>
      </c>
      <c r="F160" s="1509">
        <f>'Input data'!L140</f>
        <v>94337.659853736463</v>
      </c>
      <c r="G160" s="1509">
        <f t="shared" si="132"/>
        <v>13687.941669523079</v>
      </c>
      <c r="H160" s="1509">
        <f t="shared" si="121"/>
        <v>45401.951656019795</v>
      </c>
      <c r="I160" s="1511">
        <f t="shared" si="96"/>
        <v>13597.527775258772</v>
      </c>
      <c r="J160" s="1454">
        <f t="shared" si="131"/>
        <v>0.4</v>
      </c>
      <c r="K160" s="1512">
        <f t="shared" si="123"/>
        <v>4602.1140250513708</v>
      </c>
      <c r="L160" s="1512">
        <f t="shared" si="97"/>
        <v>0</v>
      </c>
      <c r="M160" s="1511">
        <f t="shared" si="124"/>
        <v>4602.1140250513708</v>
      </c>
      <c r="N160" s="1454">
        <f t="shared" si="130"/>
        <v>0.5</v>
      </c>
      <c r="O160" s="530">
        <f t="shared" si="98"/>
        <v>751.91700000000026</v>
      </c>
      <c r="P160" s="1481">
        <f t="shared" si="127"/>
        <v>5354.0310250513712</v>
      </c>
      <c r="Q160" s="1364">
        <f t="shared" si="99"/>
        <v>53735.862300491506</v>
      </c>
      <c r="R160" s="1364">
        <f t="shared" si="125"/>
        <v>40047.920630968423</v>
      </c>
      <c r="S160" s="1514">
        <f t="shared" si="100"/>
        <v>0.87868040739781827</v>
      </c>
      <c r="T160" s="135" t="str">
        <f t="shared" si="101"/>
        <v>Yes</v>
      </c>
      <c r="U160" s="1514">
        <f t="shared" si="102"/>
        <v>0.87868040739781827</v>
      </c>
      <c r="V160" s="1539">
        <f t="shared" si="95"/>
        <v>54289.739222768047</v>
      </c>
      <c r="W160" s="1540">
        <f t="shared" si="103"/>
        <v>0.42451679099375317</v>
      </c>
      <c r="X160" s="527">
        <f t="shared" si="104"/>
        <v>13687.941669523081</v>
      </c>
      <c r="Y160" s="1509">
        <f t="shared" si="105"/>
        <v>11904.530807683859</v>
      </c>
      <c r="Z160" s="1509">
        <f t="shared" si="106"/>
        <v>4400.5229525333853</v>
      </c>
      <c r="AA160" s="1509">
        <f t="shared" si="107"/>
        <v>0</v>
      </c>
      <c r="AB160" s="1509">
        <f t="shared" si="108"/>
        <v>24296.743793027723</v>
      </c>
      <c r="AC160" s="1509">
        <f t="shared" si="109"/>
        <v>54289.739222768047</v>
      </c>
      <c r="AD160" s="1554">
        <f t="shared" si="110"/>
        <v>0</v>
      </c>
      <c r="AE160" s="1504">
        <f t="shared" si="111"/>
        <v>0.25212760027004566</v>
      </c>
      <c r="AF160" s="1504">
        <f t="shared" si="112"/>
        <v>0.21927773052723254</v>
      </c>
      <c r="AG160" s="1504">
        <f t="shared" si="113"/>
        <v>8.1056255114371464E-2</v>
      </c>
      <c r="AH160" s="1504">
        <f t="shared" si="126"/>
        <v>0</v>
      </c>
      <c r="AI160" s="1504">
        <f t="shared" si="114"/>
        <v>0.44753841408835038</v>
      </c>
      <c r="AJ160" s="1541">
        <f t="shared" si="115"/>
        <v>1</v>
      </c>
      <c r="AK160" s="1555">
        <f t="shared" si="116"/>
        <v>8158.5166651552627</v>
      </c>
      <c r="AL160" s="1556">
        <f t="shared" si="117"/>
        <v>5227.9039033528143</v>
      </c>
      <c r="AM160" s="1556">
        <f t="shared" si="118"/>
        <v>301.5211010150029</v>
      </c>
      <c r="AN160" s="1556">
        <f t="shared" si="119"/>
        <v>13687.941669523081</v>
      </c>
      <c r="AO160" s="1543">
        <f t="shared" si="120"/>
        <v>0</v>
      </c>
    </row>
    <row r="161" spans="1:41">
      <c r="A161" s="873">
        <f>'Input data'!A141</f>
        <v>2041</v>
      </c>
      <c r="B161" s="1551">
        <f>'Input data'!B141</f>
        <v>71.818612994947316</v>
      </c>
      <c r="C161" s="1550">
        <f>'Input data'!C141</f>
        <v>6920.8570404241891</v>
      </c>
      <c r="D161" s="1552">
        <f>'Input data'!D141</f>
        <v>11135124.826855309</v>
      </c>
      <c r="E161" s="1508">
        <f>'Input data'!J141*C161</f>
        <v>83265.146829994948</v>
      </c>
      <c r="F161" s="1509">
        <f>'Input data'!L141</f>
        <v>94400.271656850266</v>
      </c>
      <c r="G161" s="1509">
        <f t="shared" si="132"/>
        <v>13687.941669523079</v>
      </c>
      <c r="H161" s="1509">
        <f t="shared" si="121"/>
        <v>44539.97548246845</v>
      </c>
      <c r="I161" s="1511">
        <f t="shared" si="96"/>
        <v>11135.12482685531</v>
      </c>
      <c r="J161" s="1454">
        <f t="shared" si="131"/>
        <v>0.4</v>
      </c>
      <c r="K161" s="1512">
        <f t="shared" si="123"/>
        <v>3768.7081786742888</v>
      </c>
      <c r="L161" s="1512">
        <f t="shared" si="97"/>
        <v>0</v>
      </c>
      <c r="M161" s="1511">
        <f t="shared" si="124"/>
        <v>3768.7081786742888</v>
      </c>
      <c r="N161" s="1454">
        <f t="shared" si="130"/>
        <v>0.5</v>
      </c>
      <c r="O161" s="530">
        <f t="shared" si="98"/>
        <v>751.91700000000026</v>
      </c>
      <c r="P161" s="1481">
        <f t="shared" si="127"/>
        <v>4520.6251786742887</v>
      </c>
      <c r="Q161" s="1364">
        <f t="shared" si="99"/>
        <v>53707.291973317238</v>
      </c>
      <c r="R161" s="1364">
        <f t="shared" si="125"/>
        <v>40019.350303794155</v>
      </c>
      <c r="S161" s="1514">
        <f t="shared" si="100"/>
        <v>0.85100084146877986</v>
      </c>
      <c r="T161" s="135" t="str">
        <f t="shared" si="101"/>
        <v>Yes</v>
      </c>
      <c r="U161" s="1514">
        <f t="shared" si="102"/>
        <v>0.85100084146877986</v>
      </c>
      <c r="V161" s="1539">
        <f t="shared" si="95"/>
        <v>54380.92135305611</v>
      </c>
      <c r="W161" s="1540">
        <f t="shared" si="103"/>
        <v>0.42393257563141884</v>
      </c>
      <c r="X161" s="527">
        <f t="shared" si="104"/>
        <v>13687.941669523083</v>
      </c>
      <c r="Y161" s="1509">
        <f t="shared" si="105"/>
        <v>11121.768116141986</v>
      </c>
      <c r="Z161" s="1509">
        <f t="shared" si="106"/>
        <v>4514.6270989529849</v>
      </c>
      <c r="AA161" s="1509">
        <f t="shared" si="107"/>
        <v>0</v>
      </c>
      <c r="AB161" s="1509">
        <f t="shared" si="108"/>
        <v>25056.584468438061</v>
      </c>
      <c r="AC161" s="1509">
        <f t="shared" si="109"/>
        <v>54380.92135305611</v>
      </c>
      <c r="AD161" s="1554">
        <f t="shared" si="110"/>
        <v>0</v>
      </c>
      <c r="AE161" s="1504">
        <f t="shared" si="111"/>
        <v>0.25170485032162565</v>
      </c>
      <c r="AF161" s="1504">
        <f t="shared" si="112"/>
        <v>0.2045159927309132</v>
      </c>
      <c r="AG161" s="1504">
        <f t="shared" si="113"/>
        <v>8.3018584213437038E-2</v>
      </c>
      <c r="AH161" s="1504">
        <f t="shared" si="126"/>
        <v>0</v>
      </c>
      <c r="AI161" s="1504">
        <f t="shared" si="114"/>
        <v>0.46076057273402421</v>
      </c>
      <c r="AJ161" s="1541">
        <f t="shared" si="115"/>
        <v>1</v>
      </c>
      <c r="AK161" s="1555">
        <f t="shared" si="116"/>
        <v>6681.0748961131849</v>
      </c>
      <c r="AL161" s="1556">
        <f t="shared" si="117"/>
        <v>6621.467705152977</v>
      </c>
      <c r="AM161" s="1556">
        <f t="shared" si="118"/>
        <v>385.39906825692015</v>
      </c>
      <c r="AN161" s="1556">
        <f t="shared" si="119"/>
        <v>13687.941669523083</v>
      </c>
      <c r="AO161" s="1543">
        <f t="shared" si="120"/>
        <v>0</v>
      </c>
    </row>
    <row r="162" spans="1:41">
      <c r="A162" s="873">
        <f>'Input data'!A142</f>
        <v>2042</v>
      </c>
      <c r="B162" s="1551">
        <f>'Input data'!B142</f>
        <v>72.264673338395411</v>
      </c>
      <c r="C162" s="1550">
        <f>'Input data'!C142</f>
        <v>7114.4180841945599</v>
      </c>
      <c r="D162" s="1552">
        <f>'Input data'!D142</f>
        <v>8672721.8784518428</v>
      </c>
      <c r="E162" s="1508">
        <f>'Input data'!J142*C162</f>
        <v>85593.88857916987</v>
      </c>
      <c r="F162" s="1509">
        <f>'Input data'!L142</f>
        <v>94266.610457621719</v>
      </c>
      <c r="G162" s="1509">
        <f t="shared" si="132"/>
        <v>13687.941669523079</v>
      </c>
      <c r="H162" s="1509">
        <f t="shared" si="121"/>
        <v>43565.376462760411</v>
      </c>
      <c r="I162" s="1511">
        <f t="shared" si="96"/>
        <v>8672.7218784518427</v>
      </c>
      <c r="J162" s="1454">
        <f t="shared" si="131"/>
        <v>0.4</v>
      </c>
      <c r="K162" s="1512">
        <f t="shared" si="123"/>
        <v>2935.3023322972049</v>
      </c>
      <c r="L162" s="1512">
        <f t="shared" si="97"/>
        <v>0</v>
      </c>
      <c r="M162" s="1511">
        <f t="shared" si="124"/>
        <v>2935.3023322972049</v>
      </c>
      <c r="N162" s="1454">
        <f t="shared" si="130"/>
        <v>0.5</v>
      </c>
      <c r="O162" s="530">
        <f t="shared" si="98"/>
        <v>751.91700000000026</v>
      </c>
      <c r="P162" s="1481">
        <f t="shared" si="127"/>
        <v>3687.2193322972053</v>
      </c>
      <c r="Q162" s="1364">
        <f t="shared" si="99"/>
        <v>53566.098799986285</v>
      </c>
      <c r="R162" s="1364">
        <f t="shared" si="125"/>
        <v>39878.157130463209</v>
      </c>
      <c r="S162" s="1514">
        <f t="shared" si="100"/>
        <v>0.8245683212300835</v>
      </c>
      <c r="T162" s="135" t="str">
        <f t="shared" si="101"/>
        <v>Yes</v>
      </c>
      <c r="U162" s="1514">
        <f t="shared" si="102"/>
        <v>0.8245683212300835</v>
      </c>
      <c r="V162" s="1539">
        <f t="shared" si="95"/>
        <v>54388.45332715851</v>
      </c>
      <c r="W162" s="1540">
        <f t="shared" si="103"/>
        <v>0.42303586537028126</v>
      </c>
      <c r="X162" s="527">
        <f t="shared" si="104"/>
        <v>13687.941669523076</v>
      </c>
      <c r="Y162" s="1509">
        <f t="shared" si="105"/>
        <v>10323.288247403594</v>
      </c>
      <c r="Z162" s="1509">
        <f t="shared" si="106"/>
        <v>4619.8617671313086</v>
      </c>
      <c r="AA162" s="1509">
        <f t="shared" si="107"/>
        <v>0</v>
      </c>
      <c r="AB162" s="1509">
        <f t="shared" si="108"/>
        <v>25757.361643100532</v>
      </c>
      <c r="AC162" s="1509">
        <f t="shared" si="109"/>
        <v>54388.45332715851</v>
      </c>
      <c r="AD162" s="1554">
        <f t="shared" si="110"/>
        <v>0</v>
      </c>
      <c r="AE162" s="1504">
        <f t="shared" si="111"/>
        <v>0.25166999302567211</v>
      </c>
      <c r="AF162" s="1504">
        <f t="shared" si="112"/>
        <v>0.18980661548337741</v>
      </c>
      <c r="AG162" s="1504">
        <f t="shared" si="113"/>
        <v>8.4941958899655112E-2</v>
      </c>
      <c r="AH162" s="1504">
        <f t="shared" si="126"/>
        <v>0</v>
      </c>
      <c r="AI162" s="1504">
        <f t="shared" si="114"/>
        <v>0.47358143259129537</v>
      </c>
      <c r="AJ162" s="1541">
        <f t="shared" si="115"/>
        <v>1</v>
      </c>
      <c r="AK162" s="1555">
        <f t="shared" si="116"/>
        <v>5203.6331270711053</v>
      </c>
      <c r="AL162" s="1556">
        <f t="shared" si="117"/>
        <v>8014.1593522355433</v>
      </c>
      <c r="AM162" s="1556">
        <f t="shared" si="118"/>
        <v>470.14919021642555</v>
      </c>
      <c r="AN162" s="1556">
        <f t="shared" si="119"/>
        <v>13687.941669523074</v>
      </c>
      <c r="AO162" s="1543">
        <f t="shared" si="120"/>
        <v>0</v>
      </c>
    </row>
    <row r="163" spans="1:41">
      <c r="A163" s="873">
        <f>'Input data'!A143</f>
        <v>2043</v>
      </c>
      <c r="B163" s="1551">
        <f>'Input data'!B143</f>
        <v>72.713504131197794</v>
      </c>
      <c r="C163" s="1550">
        <f>'Input data'!C143</f>
        <v>7308.347295357521</v>
      </c>
      <c r="D163" s="1552">
        <f>'Input data'!D143</f>
        <v>6210318.9300483763</v>
      </c>
      <c r="E163" s="1508">
        <f>'Input data'!J143*C163</f>
        <v>87927.059767043364</v>
      </c>
      <c r="F163" s="1509">
        <f>'Input data'!L143</f>
        <v>94137.378697091743</v>
      </c>
      <c r="G163" s="1509">
        <f t="shared" si="132"/>
        <v>13687.941669523079</v>
      </c>
      <c r="H163" s="1509">
        <f t="shared" si="121"/>
        <v>42593.319086514079</v>
      </c>
      <c r="I163" s="1511">
        <f t="shared" si="96"/>
        <v>6210.3189300483764</v>
      </c>
      <c r="J163" s="1454">
        <f t="shared" si="131"/>
        <v>0.4</v>
      </c>
      <c r="K163" s="1512">
        <f t="shared" si="123"/>
        <v>2101.8964859201214</v>
      </c>
      <c r="L163" s="1512">
        <f t="shared" si="97"/>
        <v>0</v>
      </c>
      <c r="M163" s="1511">
        <f t="shared" si="124"/>
        <v>2101.8964859201214</v>
      </c>
      <c r="N163" s="1454">
        <f t="shared" si="130"/>
        <v>0.5</v>
      </c>
      <c r="O163" s="530">
        <f t="shared" si="98"/>
        <v>751.91700000000026</v>
      </c>
      <c r="P163" s="1481">
        <f t="shared" si="127"/>
        <v>2853.8134859201218</v>
      </c>
      <c r="Q163" s="1364">
        <f t="shared" si="99"/>
        <v>53427.447270117031</v>
      </c>
      <c r="R163" s="1364">
        <f t="shared" si="125"/>
        <v>39739.505600593955</v>
      </c>
      <c r="S163" s="1514">
        <f t="shared" si="100"/>
        <v>0.79956743288108301</v>
      </c>
      <c r="T163" s="135" t="str">
        <f t="shared" si="101"/>
        <v>Yes</v>
      </c>
      <c r="U163" s="1514">
        <f t="shared" si="102"/>
        <v>0.79956743288108301</v>
      </c>
      <c r="V163" s="1539">
        <f t="shared" si="95"/>
        <v>54397.873096497788</v>
      </c>
      <c r="W163" s="1540">
        <f t="shared" si="103"/>
        <v>0.42214374513725073</v>
      </c>
      <c r="X163" s="527">
        <f t="shared" si="104"/>
        <v>13687.941669523074</v>
      </c>
      <c r="Y163" s="1509">
        <f t="shared" si="105"/>
        <v>9525.1630798827682</v>
      </c>
      <c r="Z163" s="1509">
        <f t="shared" si="106"/>
        <v>4725.2965994162041</v>
      </c>
      <c r="AA163" s="1509">
        <f t="shared" si="107"/>
        <v>0</v>
      </c>
      <c r="AB163" s="1509">
        <f t="shared" si="108"/>
        <v>26459.471747675743</v>
      </c>
      <c r="AC163" s="1509">
        <f t="shared" si="109"/>
        <v>54397.873096497788</v>
      </c>
      <c r="AD163" s="1554">
        <f t="shared" si="110"/>
        <v>0</v>
      </c>
      <c r="AE163" s="1504">
        <f t="shared" si="111"/>
        <v>0.25162641276878017</v>
      </c>
      <c r="AF163" s="1504">
        <f t="shared" si="112"/>
        <v>0.17510175559595567</v>
      </c>
      <c r="AG163" s="1504">
        <f t="shared" si="113"/>
        <v>8.6865466063974203E-2</v>
      </c>
      <c r="AH163" s="1504">
        <f t="shared" si="126"/>
        <v>0</v>
      </c>
      <c r="AI163" s="1504">
        <f t="shared" si="114"/>
        <v>0.48640636557128997</v>
      </c>
      <c r="AJ163" s="1541">
        <f t="shared" si="115"/>
        <v>1</v>
      </c>
      <c r="AK163" s="1555">
        <f t="shared" si="116"/>
        <v>3726.1913580290257</v>
      </c>
      <c r="AL163" s="1556">
        <f t="shared" si="117"/>
        <v>9405.8497493109044</v>
      </c>
      <c r="AM163" s="1556">
        <f t="shared" si="118"/>
        <v>555.90056218314351</v>
      </c>
      <c r="AN163" s="1556">
        <f t="shared" si="119"/>
        <v>13687.941669523074</v>
      </c>
      <c r="AO163" s="1543">
        <f t="shared" si="120"/>
        <v>0</v>
      </c>
    </row>
    <row r="164" spans="1:41">
      <c r="A164" s="873">
        <f>'Input data'!A144</f>
        <v>2044</v>
      </c>
      <c r="B164" s="1551">
        <f>'Input data'!B144</f>
        <v>73.165122580420132</v>
      </c>
      <c r="C164" s="1550">
        <f>'Input data'!C144</f>
        <v>7506.518596985471</v>
      </c>
      <c r="D164" s="1552">
        <f>'Input data'!D144</f>
        <v>3747915.9816449117</v>
      </c>
      <c r="E164" s="1508">
        <f>'Input data'!J144*C164</f>
        <v>90311.267738854192</v>
      </c>
      <c r="F164" s="1509">
        <f>'Input data'!L144</f>
        <v>94059.183720499102</v>
      </c>
      <c r="G164" s="1509">
        <f t="shared" si="132"/>
        <v>13687.941669523079</v>
      </c>
      <c r="H164" s="1509">
        <f t="shared" si="121"/>
        <v>41650.546980259591</v>
      </c>
      <c r="I164" s="1511">
        <f t="shared" si="96"/>
        <v>3747.9159816449119</v>
      </c>
      <c r="J164" s="1454">
        <f t="shared" si="131"/>
        <v>0.4</v>
      </c>
      <c r="K164" s="1512">
        <f t="shared" si="123"/>
        <v>1268.4906395430385</v>
      </c>
      <c r="L164" s="1512">
        <f t="shared" si="97"/>
        <v>0</v>
      </c>
      <c r="M164" s="1511">
        <f t="shared" si="124"/>
        <v>1268.4906395430385</v>
      </c>
      <c r="N164" s="1454">
        <f t="shared" si="130"/>
        <v>0.5</v>
      </c>
      <c r="O164" s="530">
        <f t="shared" si="98"/>
        <v>751.91700000000026</v>
      </c>
      <c r="P164" s="1481">
        <f t="shared" si="127"/>
        <v>2020.4076395430388</v>
      </c>
      <c r="Q164" s="1364">
        <f t="shared" si="99"/>
        <v>53318.081010239628</v>
      </c>
      <c r="R164" s="1364">
        <f t="shared" si="125"/>
        <v>39630.139340716545</v>
      </c>
      <c r="S164" s="1514">
        <f t="shared" si="100"/>
        <v>0.77600662154398836</v>
      </c>
      <c r="T164" s="135" t="str">
        <f t="shared" si="101"/>
        <v>Yes</v>
      </c>
      <c r="U164" s="1514">
        <f t="shared" si="102"/>
        <v>0.77600662154398836</v>
      </c>
      <c r="V164" s="1539">
        <f t="shared" si="95"/>
        <v>54429.044379782572</v>
      </c>
      <c r="W164" s="1540">
        <f t="shared" si="103"/>
        <v>0.42133195051404215</v>
      </c>
      <c r="X164" s="527">
        <f t="shared" si="104"/>
        <v>13687.941669523087</v>
      </c>
      <c r="Y164" s="1509">
        <f t="shared" si="105"/>
        <v>8731.1248431527856</v>
      </c>
      <c r="Z164" s="1509">
        <f t="shared" si="106"/>
        <v>4833.0377582933197</v>
      </c>
      <c r="AA164" s="1509">
        <f t="shared" si="107"/>
        <v>0</v>
      </c>
      <c r="AB164" s="1509">
        <f t="shared" si="108"/>
        <v>27176.940108813385</v>
      </c>
      <c r="AC164" s="1509">
        <f t="shared" si="109"/>
        <v>54429.044379782572</v>
      </c>
      <c r="AD164" s="1554">
        <f t="shared" si="110"/>
        <v>0</v>
      </c>
      <c r="AE164" s="1504">
        <f t="shared" si="111"/>
        <v>0.25148230738747662</v>
      </c>
      <c r="AF164" s="1504">
        <f t="shared" si="112"/>
        <v>0.16041297330577281</v>
      </c>
      <c r="AG164" s="1504">
        <f t="shared" si="113"/>
        <v>8.8795197736165482E-2</v>
      </c>
      <c r="AH164" s="1504">
        <f t="shared" si="126"/>
        <v>0</v>
      </c>
      <c r="AI164" s="1504">
        <f t="shared" si="114"/>
        <v>0.49930952157058522</v>
      </c>
      <c r="AJ164" s="1541">
        <f t="shared" si="115"/>
        <v>1.0000000000000002</v>
      </c>
      <c r="AK164" s="1555">
        <f t="shared" si="116"/>
        <v>2248.7495889869469</v>
      </c>
      <c r="AL164" s="1556">
        <f t="shared" si="117"/>
        <v>10796.53299005724</v>
      </c>
      <c r="AM164" s="1556">
        <f t="shared" si="118"/>
        <v>642.65909047889772</v>
      </c>
      <c r="AN164" s="1556">
        <f t="shared" si="119"/>
        <v>13687.941669523083</v>
      </c>
      <c r="AO164" s="1543">
        <f t="shared" si="120"/>
        <v>0</v>
      </c>
    </row>
    <row r="165" spans="1:41">
      <c r="A165" s="873">
        <f>'Input data'!A145</f>
        <v>2045</v>
      </c>
      <c r="B165" s="1551">
        <f>'Input data'!B145</f>
        <v>73.619545999999971</v>
      </c>
      <c r="C165" s="1550">
        <f>'Input data'!C145</f>
        <v>7710.3236783048815</v>
      </c>
      <c r="D165" s="1552">
        <f>'Input data'!D145</f>
        <v>1285513.0332414466</v>
      </c>
      <c r="E165" s="1508">
        <f>'Input data'!J145*C165</f>
        <v>92763.255971184393</v>
      </c>
      <c r="F165" s="1509">
        <f>'Input data'!L145</f>
        <v>94048.769004425834</v>
      </c>
      <c r="G165" s="1509">
        <f t="shared" si="132"/>
        <v>13687.941669523079</v>
      </c>
      <c r="H165" s="1509">
        <f t="shared" si="121"/>
        <v>40746.667670068913</v>
      </c>
      <c r="I165" s="1511">
        <f t="shared" si="96"/>
        <v>1285.5130332414467</v>
      </c>
      <c r="J165" s="1454">
        <f t="shared" si="131"/>
        <v>0.4</v>
      </c>
      <c r="K165" s="1512">
        <f t="shared" si="123"/>
        <v>435.08479316595498</v>
      </c>
      <c r="L165" s="1512">
        <f t="shared" si="97"/>
        <v>0</v>
      </c>
      <c r="M165" s="1511">
        <f t="shared" si="124"/>
        <v>435.08479316595498</v>
      </c>
      <c r="N165" s="1454">
        <f t="shared" si="130"/>
        <v>0.5</v>
      </c>
      <c r="O165" s="530">
        <f t="shared" si="98"/>
        <v>751.91700000000026</v>
      </c>
      <c r="P165" s="1481">
        <f t="shared" si="127"/>
        <v>1187.0017931659552</v>
      </c>
      <c r="Q165" s="1364">
        <f t="shared" si="99"/>
        <v>53247.607546426036</v>
      </c>
      <c r="R165" s="1364">
        <f t="shared" si="125"/>
        <v>39559.66587690296</v>
      </c>
      <c r="S165" s="1514">
        <f t="shared" si="100"/>
        <v>0.75385776213447309</v>
      </c>
      <c r="T165" s="135" t="str">
        <f t="shared" si="101"/>
        <v>Yes</v>
      </c>
      <c r="U165" s="1514">
        <f t="shared" si="102"/>
        <v>0.75385776213447309</v>
      </c>
      <c r="V165" s="1539">
        <f t="shared" si="95"/>
        <v>54489.103127522903</v>
      </c>
      <c r="W165" s="1540">
        <f t="shared" si="103"/>
        <v>0.42062927878451328</v>
      </c>
      <c r="X165" s="527">
        <f t="shared" si="104"/>
        <v>13687.941669523079</v>
      </c>
      <c r="Y165" s="1509">
        <f t="shared" si="105"/>
        <v>7942.5143236956574</v>
      </c>
      <c r="Z165" s="1509">
        <f t="shared" si="106"/>
        <v>4943.8418730466392</v>
      </c>
      <c r="AA165" s="1509">
        <f t="shared" si="107"/>
        <v>0</v>
      </c>
      <c r="AB165" s="1509">
        <f t="shared" si="108"/>
        <v>27914.805261257523</v>
      </c>
      <c r="AC165" s="1509">
        <f t="shared" si="109"/>
        <v>54489.103127522903</v>
      </c>
      <c r="AD165" s="1554">
        <f t="shared" si="110"/>
        <v>0</v>
      </c>
      <c r="AE165" s="1504">
        <f t="shared" si="111"/>
        <v>0.25120511962710551</v>
      </c>
      <c r="AF165" s="1504">
        <f t="shared" si="112"/>
        <v>0.1457633520799102</v>
      </c>
      <c r="AG165" s="1504">
        <f t="shared" si="113"/>
        <v>9.073083587880644E-2</v>
      </c>
      <c r="AH165" s="1504">
        <f t="shared" si="126"/>
        <v>0</v>
      </c>
      <c r="AI165" s="1504">
        <f t="shared" si="114"/>
        <v>0.51230069241417775</v>
      </c>
      <c r="AJ165" s="1541">
        <f t="shared" si="115"/>
        <v>0.99999999999999989</v>
      </c>
      <c r="AK165" s="1555">
        <f t="shared" si="116"/>
        <v>771.30781994486802</v>
      </c>
      <c r="AL165" s="1556">
        <f t="shared" si="117"/>
        <v>12186.228744503591</v>
      </c>
      <c r="AM165" s="1556">
        <f t="shared" si="118"/>
        <v>730.40510507461875</v>
      </c>
      <c r="AN165" s="1556">
        <f t="shared" si="119"/>
        <v>13687.941669523078</v>
      </c>
      <c r="AO165" s="1543">
        <f t="shared" si="120"/>
        <v>0</v>
      </c>
    </row>
    <row r="166" spans="1:41">
      <c r="A166" s="873">
        <f>'Input data'!A146</f>
        <v>2046</v>
      </c>
      <c r="B166" s="1551">
        <f>'Input data'!B146</f>
        <v>73.995362001779526</v>
      </c>
      <c r="C166" s="1550">
        <f>'Input data'!C146</f>
        <v>7937.3408756753133</v>
      </c>
      <c r="D166" s="1552">
        <f>'Input data'!D146</f>
        <v>1075389.49817775</v>
      </c>
      <c r="E166" s="1508">
        <f>'Input data'!J146*C166</f>
        <v>95494.510230819331</v>
      </c>
      <c r="F166" s="1509">
        <f>'Input data'!L146</f>
        <v>96569.899728997087</v>
      </c>
      <c r="G166" s="1509">
        <f t="shared" si="132"/>
        <v>13687.941669523079</v>
      </c>
      <c r="H166" s="1509">
        <f t="shared" si="121"/>
        <v>42116.689903411301</v>
      </c>
      <c r="I166" s="1511">
        <f t="shared" si="96"/>
        <v>1075.3894981777501</v>
      </c>
      <c r="J166" s="1454">
        <f t="shared" si="131"/>
        <v>0.4</v>
      </c>
      <c r="K166" s="1512">
        <f t="shared" si="123"/>
        <v>363.96800754926898</v>
      </c>
      <c r="L166" s="1512">
        <f t="shared" si="97"/>
        <v>0</v>
      </c>
      <c r="M166" s="1511">
        <f t="shared" si="124"/>
        <v>363.96800754926898</v>
      </c>
      <c r="N166" s="1454">
        <f t="shared" si="130"/>
        <v>0.5</v>
      </c>
      <c r="O166" s="530">
        <f t="shared" si="98"/>
        <v>751.91700000000026</v>
      </c>
      <c r="P166" s="1481">
        <f t="shared" si="127"/>
        <v>1115.8850075492692</v>
      </c>
      <c r="Q166" s="1364">
        <f t="shared" si="99"/>
        <v>54688.746565385118</v>
      </c>
      <c r="R166" s="1364">
        <f t="shared" si="125"/>
        <v>41000.804895862035</v>
      </c>
      <c r="S166" s="1514">
        <f t="shared" si="100"/>
        <v>0.75866283890834152</v>
      </c>
      <c r="T166" s="135" t="str">
        <f t="shared" si="101"/>
        <v>Yes</v>
      </c>
      <c r="U166" s="1514">
        <f t="shared" si="102"/>
        <v>0.75866283890834152</v>
      </c>
      <c r="V166" s="1539">
        <f t="shared" si="95"/>
        <v>55569.094833135066</v>
      </c>
      <c r="W166" s="1540">
        <f t="shared" si="103"/>
        <v>0.42457126921454891</v>
      </c>
      <c r="X166" s="527">
        <f t="shared" si="104"/>
        <v>13687.941669523081</v>
      </c>
      <c r="Y166" s="1509">
        <f t="shared" si="105"/>
        <v>8077.1786739430172</v>
      </c>
      <c r="Z166" s="1509">
        <f t="shared" si="106"/>
        <v>5067.2658790898813</v>
      </c>
      <c r="AA166" s="1509">
        <f t="shared" si="107"/>
        <v>0</v>
      </c>
      <c r="AB166" s="1509">
        <f t="shared" si="108"/>
        <v>28736.70861057908</v>
      </c>
      <c r="AC166" s="1509">
        <f t="shared" si="109"/>
        <v>55569.094833135066</v>
      </c>
      <c r="AD166" s="1535">
        <f t="shared" si="110"/>
        <v>0</v>
      </c>
      <c r="AE166" s="1504">
        <f t="shared" si="111"/>
        <v>0.2463229194325684</v>
      </c>
      <c r="AF166" s="1504">
        <f t="shared" si="112"/>
        <v>0.14535379239480989</v>
      </c>
      <c r="AG166" s="1504">
        <f t="shared" si="113"/>
        <v>9.1188562532934087E-2</v>
      </c>
      <c r="AH166" s="1504">
        <f t="shared" si="126"/>
        <v>0</v>
      </c>
      <c r="AI166" s="1504">
        <f t="shared" si="114"/>
        <v>0.51713472563968754</v>
      </c>
      <c r="AJ166" s="1541">
        <f t="shared" si="115"/>
        <v>0.99999999999999989</v>
      </c>
      <c r="AK166" s="1555">
        <f t="shared" si="116"/>
        <v>645.23369890665003</v>
      </c>
      <c r="AL166" s="1556">
        <f t="shared" si="117"/>
        <v>12300.132863234181</v>
      </c>
      <c r="AM166" s="1556">
        <f t="shared" si="118"/>
        <v>742.57510738224892</v>
      </c>
      <c r="AN166" s="1556">
        <f t="shared" si="119"/>
        <v>13687.941669523079</v>
      </c>
      <c r="AO166" s="1543">
        <f t="shared" si="120"/>
        <v>0</v>
      </c>
    </row>
    <row r="167" spans="1:41">
      <c r="A167" s="873">
        <f>'Input data'!A147</f>
        <v>2047</v>
      </c>
      <c r="B167" s="1551">
        <f>'Input data'!B147</f>
        <v>74.373096484110363</v>
      </c>
      <c r="C167" s="1550">
        <f>'Input data'!C147</f>
        <v>8114.689906663607</v>
      </c>
      <c r="D167" s="1552">
        <f>'Input data'!D147</f>
        <v>865265.96311405371</v>
      </c>
      <c r="E167" s="1508">
        <f>'Input data'!J147*C167</f>
        <v>97628.204514510595</v>
      </c>
      <c r="F167" s="1509">
        <f>'Input data'!L147</f>
        <v>98493.470477624651</v>
      </c>
      <c r="G167" s="1509">
        <f t="shared" si="132"/>
        <v>13687.941669523079</v>
      </c>
      <c r="H167" s="1509">
        <f t="shared" si="121"/>
        <v>43143.827968085869</v>
      </c>
      <c r="I167" s="1511">
        <f t="shared" si="96"/>
        <v>865.26596311405376</v>
      </c>
      <c r="J167" s="1454">
        <f t="shared" si="131"/>
        <v>0.4</v>
      </c>
      <c r="K167" s="1512">
        <f t="shared" si="123"/>
        <v>292.85122193258309</v>
      </c>
      <c r="L167" s="1512">
        <f t="shared" si="97"/>
        <v>0</v>
      </c>
      <c r="M167" s="1511">
        <f t="shared" si="124"/>
        <v>292.85122193258309</v>
      </c>
      <c r="N167" s="1454">
        <f t="shared" si="130"/>
        <v>0.5</v>
      </c>
      <c r="O167" s="530">
        <f t="shared" si="98"/>
        <v>751.91700000000026</v>
      </c>
      <c r="P167" s="1481">
        <f t="shared" si="127"/>
        <v>1044.7682219325834</v>
      </c>
      <c r="Q167" s="1364">
        <f t="shared" si="99"/>
        <v>55787.001415676365</v>
      </c>
      <c r="R167" s="1364">
        <f t="shared" si="125"/>
        <v>42099.059746153289</v>
      </c>
      <c r="S167" s="1514">
        <f t="shared" si="100"/>
        <v>0.7617279478670349</v>
      </c>
      <c r="T167" s="135" t="str">
        <f t="shared" si="101"/>
        <v>Yes</v>
      </c>
      <c r="U167" s="1514">
        <f t="shared" si="102"/>
        <v>0.7617279478670349</v>
      </c>
      <c r="V167" s="1539">
        <f t="shared" si="95"/>
        <v>56394.410731471369</v>
      </c>
      <c r="W167" s="1540">
        <f t="shared" si="103"/>
        <v>0.42742995593517208</v>
      </c>
      <c r="X167" s="527">
        <f t="shared" si="104"/>
        <v>13687.941669523076</v>
      </c>
      <c r="Y167" s="1509">
        <f t="shared" si="105"/>
        <v>8163.9915320576392</v>
      </c>
      <c r="Z167" s="1509">
        <f t="shared" si="106"/>
        <v>5163.6864504210689</v>
      </c>
      <c r="AA167" s="1509">
        <f t="shared" si="107"/>
        <v>0</v>
      </c>
      <c r="AB167" s="1509">
        <f t="shared" si="108"/>
        <v>29378.791079469585</v>
      </c>
      <c r="AC167" s="1509">
        <f t="shared" si="109"/>
        <v>56394.410731471369</v>
      </c>
      <c r="AD167" s="1535">
        <f t="shared" si="110"/>
        <v>0</v>
      </c>
      <c r="AE167" s="1504">
        <f t="shared" si="111"/>
        <v>0.24271805471467417</v>
      </c>
      <c r="AF167" s="1504">
        <f t="shared" si="112"/>
        <v>0.1447659692896065</v>
      </c>
      <c r="AG167" s="1504">
        <f t="shared" si="113"/>
        <v>9.1563798316974532E-2</v>
      </c>
      <c r="AH167" s="1504">
        <f t="shared" si="126"/>
        <v>0</v>
      </c>
      <c r="AI167" s="1504">
        <f t="shared" si="114"/>
        <v>0.5209521776787448</v>
      </c>
      <c r="AJ167" s="1541">
        <f t="shared" si="115"/>
        <v>1</v>
      </c>
      <c r="AK167" s="1555">
        <f t="shared" si="116"/>
        <v>519.15957786843228</v>
      </c>
      <c r="AL167" s="1556">
        <f t="shared" si="117"/>
        <v>12415.253874938458</v>
      </c>
      <c r="AM167" s="1556">
        <f t="shared" si="118"/>
        <v>753.52821671618051</v>
      </c>
      <c r="AN167" s="1556">
        <f t="shared" si="119"/>
        <v>13687.94166952307</v>
      </c>
      <c r="AO167" s="1543">
        <f t="shared" si="120"/>
        <v>0</v>
      </c>
    </row>
    <row r="168" spans="1:41">
      <c r="A168" s="873">
        <f>'Input data'!A148</f>
        <v>2048</v>
      </c>
      <c r="B168" s="1551">
        <f>'Input data'!B148</f>
        <v>74.752759240528661</v>
      </c>
      <c r="C168" s="1550">
        <f>'Input data'!C148</f>
        <v>8296.4877206561141</v>
      </c>
      <c r="D168" s="1552">
        <f>'Input data'!D148</f>
        <v>655142.42805035703</v>
      </c>
      <c r="E168" s="1508">
        <f>'Input data'!J148*C168</f>
        <v>99815.422309509362</v>
      </c>
      <c r="F168" s="1509">
        <f>'Input data'!L148</f>
        <v>100470.56473755972</v>
      </c>
      <c r="G168" s="1509">
        <f t="shared" si="132"/>
        <v>13687.941669523079</v>
      </c>
      <c r="H168" s="1509">
        <f t="shared" si="121"/>
        <v>44201.678204622134</v>
      </c>
      <c r="I168" s="1511">
        <f t="shared" si="96"/>
        <v>655.14242805035701</v>
      </c>
      <c r="J168" s="1454">
        <f t="shared" si="131"/>
        <v>0.4</v>
      </c>
      <c r="K168" s="1512">
        <f t="shared" si="123"/>
        <v>221.734436315897</v>
      </c>
      <c r="L168" s="1512">
        <f t="shared" si="97"/>
        <v>0</v>
      </c>
      <c r="M168" s="1511">
        <f t="shared" si="124"/>
        <v>221.734436315897</v>
      </c>
      <c r="N168" s="1454">
        <f t="shared" si="130"/>
        <v>0.5</v>
      </c>
      <c r="O168" s="530">
        <f t="shared" si="98"/>
        <v>751.91700000000026</v>
      </c>
      <c r="P168" s="1481">
        <f t="shared" si="127"/>
        <v>973.65143631589729</v>
      </c>
      <c r="Q168" s="1364">
        <f t="shared" si="99"/>
        <v>56915.968437829317</v>
      </c>
      <c r="R168" s="1364">
        <f t="shared" si="125"/>
        <v>43228.026768306241</v>
      </c>
      <c r="S168" s="1514">
        <f t="shared" si="100"/>
        <v>0.76478807322757936</v>
      </c>
      <c r="T168" s="135" t="str">
        <f t="shared" si="101"/>
        <v>Yes</v>
      </c>
      <c r="U168" s="1514">
        <f t="shared" si="102"/>
        <v>0.76478807322757936</v>
      </c>
      <c r="V168" s="1539">
        <f t="shared" si="95"/>
        <v>57242.537969253484</v>
      </c>
      <c r="W168" s="1540">
        <f t="shared" si="103"/>
        <v>0.43025563637690944</v>
      </c>
      <c r="X168" s="527">
        <f t="shared" si="104"/>
        <v>13687.941669523078</v>
      </c>
      <c r="Y168" s="1509">
        <f t="shared" si="105"/>
        <v>8255.0904534685887</v>
      </c>
      <c r="Z168" s="1509">
        <f t="shared" si="106"/>
        <v>5262.5257223033932</v>
      </c>
      <c r="AA168" s="1509">
        <f t="shared" si="107"/>
        <v>0</v>
      </c>
      <c r="AB168" s="1509">
        <f t="shared" si="108"/>
        <v>30036.980123958427</v>
      </c>
      <c r="AC168" s="1509">
        <f t="shared" si="109"/>
        <v>57242.537969253484</v>
      </c>
      <c r="AD168" s="1535">
        <f t="shared" si="110"/>
        <v>0</v>
      </c>
      <c r="AE168" s="1504">
        <f t="shared" si="111"/>
        <v>0.23912185160055693</v>
      </c>
      <c r="AF168" s="1504">
        <f t="shared" si="112"/>
        <v>0.14421251653626227</v>
      </c>
      <c r="AG168" s="1504">
        <f t="shared" si="113"/>
        <v>9.1933829438695366E-2</v>
      </c>
      <c r="AH168" s="1504">
        <f t="shared" si="126"/>
        <v>0</v>
      </c>
      <c r="AI168" s="1504">
        <f t="shared" si="114"/>
        <v>0.52473180242448547</v>
      </c>
      <c r="AJ168" s="1541">
        <f t="shared" si="115"/>
        <v>1</v>
      </c>
      <c r="AK168" s="1555">
        <f t="shared" si="116"/>
        <v>393.08545683021418</v>
      </c>
      <c r="AL168" s="1556">
        <f t="shared" si="117"/>
        <v>12530.378372055246</v>
      </c>
      <c r="AM168" s="1556">
        <f t="shared" si="118"/>
        <v>764.47784063761378</v>
      </c>
      <c r="AN168" s="1556">
        <f t="shared" si="119"/>
        <v>13687.941669523074</v>
      </c>
      <c r="AO168" s="1543">
        <f t="shared" si="120"/>
        <v>0</v>
      </c>
    </row>
    <row r="169" spans="1:41">
      <c r="A169" s="127">
        <f>'Input data'!A149</f>
        <v>2049</v>
      </c>
      <c r="B169" s="662">
        <f>'Input data'!B149</f>
        <v>75.134360114565098</v>
      </c>
      <c r="C169" s="236">
        <f>'Input data'!C149</f>
        <v>8472.9909282566368</v>
      </c>
      <c r="D169" s="237">
        <f>'Input data'!D149</f>
        <v>445018.89298666047</v>
      </c>
      <c r="E169" s="527">
        <f>'Input data'!J149*C169</f>
        <v>101938.94045343013</v>
      </c>
      <c r="F169" s="528">
        <f>'Input data'!L149</f>
        <v>102383.95934641678</v>
      </c>
      <c r="G169" s="528">
        <f t="shared" si="132"/>
        <v>13687.941669523079</v>
      </c>
      <c r="H169" s="1509">
        <f t="shared" si="121"/>
        <v>45222.977127844933</v>
      </c>
      <c r="I169" s="1511">
        <f t="shared" si="96"/>
        <v>445.01889298666049</v>
      </c>
      <c r="J169" s="649">
        <f t="shared" si="131"/>
        <v>0.4</v>
      </c>
      <c r="K169" s="1512">
        <f t="shared" si="123"/>
        <v>150.617650699211</v>
      </c>
      <c r="L169" s="1512">
        <f t="shared" si="97"/>
        <v>0</v>
      </c>
      <c r="M169" s="1511">
        <f t="shared" si="124"/>
        <v>150.617650699211</v>
      </c>
      <c r="N169" s="649">
        <f t="shared" si="130"/>
        <v>0.5</v>
      </c>
      <c r="O169" s="530">
        <f t="shared" si="98"/>
        <v>751.91700000000026</v>
      </c>
      <c r="P169" s="1481">
        <f t="shared" si="127"/>
        <v>902.53465069921128</v>
      </c>
      <c r="Q169" s="1364">
        <f t="shared" si="99"/>
        <v>58008.384146668803</v>
      </c>
      <c r="R169" s="1364">
        <f t="shared" si="125"/>
        <v>44320.442477145727</v>
      </c>
      <c r="S169" s="1514">
        <f t="shared" si="100"/>
        <v>0.76756821529530794</v>
      </c>
      <c r="T169" s="135" t="str">
        <f t="shared" si="101"/>
        <v>Yes</v>
      </c>
      <c r="U169" s="1514">
        <f t="shared" si="102"/>
        <v>0.76756821529530794</v>
      </c>
      <c r="V169" s="1539">
        <f t="shared" si="95"/>
        <v>58063.516869271072</v>
      </c>
      <c r="W169" s="1540">
        <f t="shared" si="103"/>
        <v>0.43288463114800246</v>
      </c>
      <c r="X169" s="527">
        <f t="shared" si="104"/>
        <v>13687.941669523074</v>
      </c>
      <c r="Y169" s="1509">
        <f t="shared" si="105"/>
        <v>8341.0884252257347</v>
      </c>
      <c r="Z169" s="1509">
        <f t="shared" si="106"/>
        <v>5358.4864389974309</v>
      </c>
      <c r="AA169" s="1509">
        <f t="shared" si="107"/>
        <v>0</v>
      </c>
      <c r="AB169" s="1509">
        <f t="shared" si="108"/>
        <v>30676.000335524837</v>
      </c>
      <c r="AC169" s="1509">
        <f t="shared" si="109"/>
        <v>58063.516869271072</v>
      </c>
      <c r="AD169" s="1535">
        <f t="shared" si="110"/>
        <v>0</v>
      </c>
      <c r="AE169" s="1504">
        <f t="shared" si="111"/>
        <v>0.23574083017295042</v>
      </c>
      <c r="AF169" s="1504">
        <f t="shared" si="112"/>
        <v>0.14365455065364952</v>
      </c>
      <c r="AG169" s="1504">
        <f t="shared" si="113"/>
        <v>9.2286632431548429E-2</v>
      </c>
      <c r="AH169" s="1504">
        <f t="shared" si="126"/>
        <v>0</v>
      </c>
      <c r="AI169" s="1504">
        <f t="shared" si="114"/>
        <v>0.52831798674185171</v>
      </c>
      <c r="AJ169" s="1541">
        <f t="shared" si="115"/>
        <v>1</v>
      </c>
      <c r="AK169" s="1555">
        <f t="shared" si="116"/>
        <v>267.01133579199632</v>
      </c>
      <c r="AL169" s="1556">
        <f t="shared" si="117"/>
        <v>12645.698682967439</v>
      </c>
      <c r="AM169" s="1556">
        <f t="shared" si="118"/>
        <v>775.23165076363637</v>
      </c>
      <c r="AN169" s="1556">
        <f t="shared" si="119"/>
        <v>13687.941669523072</v>
      </c>
      <c r="AO169" s="1543">
        <f t="shared" si="120"/>
        <v>0</v>
      </c>
    </row>
    <row r="170" spans="1:41" ht="15.75" thickBot="1">
      <c r="A170" s="172">
        <f>'Input data'!A150</f>
        <v>2050</v>
      </c>
      <c r="B170" s="664">
        <f>'Input data'!B150</f>
        <v>75.517908999999989</v>
      </c>
      <c r="C170" s="239">
        <f>'Input data'!C150</f>
        <v>8654.8011856383091</v>
      </c>
      <c r="D170" s="240">
        <f>'Input data'!D150</f>
        <v>234895.35792296397</v>
      </c>
      <c r="E170" s="670">
        <f>'Input data'!J150*C170</f>
        <v>104126.30795541168</v>
      </c>
      <c r="F170" s="667">
        <f>'Input data'!L150</f>
        <v>104361.20331333466</v>
      </c>
      <c r="G170" s="667">
        <f t="shared" si="132"/>
        <v>13687.941669523079</v>
      </c>
      <c r="H170" s="667">
        <f t="shared" si="121"/>
        <v>46280.913267313808</v>
      </c>
      <c r="I170" s="659">
        <f t="shared" si="96"/>
        <v>234.89535792296397</v>
      </c>
      <c r="J170" s="650">
        <f t="shared" si="131"/>
        <v>0.4</v>
      </c>
      <c r="K170" s="1518">
        <f t="shared" si="123"/>
        <v>79.50086508252501</v>
      </c>
      <c r="L170" s="1518">
        <f t="shared" si="97"/>
        <v>0</v>
      </c>
      <c r="M170" s="1520">
        <f t="shared" si="124"/>
        <v>79.50086508252501</v>
      </c>
      <c r="N170" s="650">
        <f t="shared" si="130"/>
        <v>0.5</v>
      </c>
      <c r="O170" s="659">
        <f t="shared" si="98"/>
        <v>751.91700000000026</v>
      </c>
      <c r="P170" s="1482">
        <f t="shared" si="127"/>
        <v>831.41786508252528</v>
      </c>
      <c r="Q170" s="1485">
        <f t="shared" si="99"/>
        <v>59137.437071754357</v>
      </c>
      <c r="R170" s="1485">
        <f t="shared" si="125"/>
        <v>45449.495402231274</v>
      </c>
      <c r="S170" s="1523">
        <f t="shared" si="100"/>
        <v>0.77037613269252614</v>
      </c>
      <c r="T170" s="1105" t="str">
        <f t="shared" si="101"/>
        <v>Yes</v>
      </c>
      <c r="U170" s="1523">
        <f t="shared" si="102"/>
        <v>0.77037613269252614</v>
      </c>
      <c r="V170" s="1544">
        <f t="shared" si="95"/>
        <v>58911.707911103389</v>
      </c>
      <c r="W170" s="1545">
        <f t="shared" si="103"/>
        <v>0.43550183362464157</v>
      </c>
      <c r="X170" s="670">
        <f t="shared" si="104"/>
        <v>13687.941669523079</v>
      </c>
      <c r="Y170" s="1518">
        <f t="shared" si="105"/>
        <v>8432.1993348935939</v>
      </c>
      <c r="Z170" s="1518">
        <f t="shared" si="106"/>
        <v>5457.3324760629976</v>
      </c>
      <c r="AA170" s="1518">
        <f t="shared" si="107"/>
        <v>0</v>
      </c>
      <c r="AB170" s="1518">
        <f t="shared" si="108"/>
        <v>31334.234430623717</v>
      </c>
      <c r="AC170" s="1518">
        <f t="shared" si="109"/>
        <v>58911.707911103389</v>
      </c>
      <c r="AD170" s="1546">
        <f t="shared" si="110"/>
        <v>0</v>
      </c>
      <c r="AE170" s="1521">
        <f t="shared" si="111"/>
        <v>0.23234671264628612</v>
      </c>
      <c r="AF170" s="1521">
        <f t="shared" si="112"/>
        <v>0.14313282764807322</v>
      </c>
      <c r="AG170" s="1521">
        <f t="shared" si="113"/>
        <v>9.263578785218729E-2</v>
      </c>
      <c r="AH170" s="1521">
        <f t="shared" si="126"/>
        <v>0</v>
      </c>
      <c r="AI170" s="1521">
        <f>AB170/AC170</f>
        <v>0.53188467185345334</v>
      </c>
      <c r="AJ170" s="1547">
        <f t="shared" si="115"/>
        <v>1</v>
      </c>
      <c r="AK170" s="1639">
        <f t="shared" si="116"/>
        <v>140.93721475377839</v>
      </c>
      <c r="AL170" s="1640">
        <f t="shared" si="117"/>
        <v>12760.999568460958</v>
      </c>
      <c r="AM170" s="1640">
        <f t="shared" si="118"/>
        <v>786.00488630833911</v>
      </c>
      <c r="AN170" s="1640">
        <f t="shared" si="119"/>
        <v>13687.941669523076</v>
      </c>
      <c r="AO170" s="1548">
        <f t="shared" si="120"/>
        <v>0</v>
      </c>
    </row>
    <row r="172" spans="1:41" ht="23.25">
      <c r="A172" s="686" t="s">
        <v>653</v>
      </c>
    </row>
    <row r="173" spans="1:41" ht="24" thickBot="1">
      <c r="A173" s="686"/>
    </row>
    <row r="174" spans="1:41" ht="21.6" customHeight="1" thickBot="1">
      <c r="A174" s="1823" t="s">
        <v>602</v>
      </c>
      <c r="B174" s="1824"/>
      <c r="C174" s="1824"/>
      <c r="D174" s="1825"/>
      <c r="E174" s="1919" t="s">
        <v>603</v>
      </c>
      <c r="F174" s="1920"/>
      <c r="G174" s="1920"/>
      <c r="H174" s="1920"/>
      <c r="I174" s="1921"/>
      <c r="J174" s="1830" t="s">
        <v>604</v>
      </c>
      <c r="K174" s="1830"/>
      <c r="L174" s="1831"/>
      <c r="M174" s="1832" t="s">
        <v>764</v>
      </c>
      <c r="N174" s="1834" t="s">
        <v>607</v>
      </c>
      <c r="O174" s="1835"/>
      <c r="P174" s="1813" t="s">
        <v>594</v>
      </c>
      <c r="Q174" s="1815" t="s">
        <v>772</v>
      </c>
      <c r="R174" s="1815" t="s">
        <v>775</v>
      </c>
      <c r="S174" s="1815" t="s">
        <v>774</v>
      </c>
      <c r="T174" s="1847" t="s">
        <v>776</v>
      </c>
      <c r="U174" s="1880" t="s">
        <v>777</v>
      </c>
      <c r="V174" s="1817" t="s">
        <v>767</v>
      </c>
      <c r="W174" s="1819" t="s">
        <v>768</v>
      </c>
      <c r="X174" s="1914" t="s">
        <v>592</v>
      </c>
      <c r="Y174" s="1884"/>
      <c r="Z174" s="1884"/>
      <c r="AA174" s="1884"/>
      <c r="AB174" s="1884"/>
      <c r="AC174" s="1884"/>
      <c r="AD174" s="1884"/>
      <c r="AE174" s="1884"/>
      <c r="AF174" s="1884"/>
      <c r="AG174" s="1884"/>
      <c r="AH174" s="1884"/>
      <c r="AI174" s="1884"/>
      <c r="AJ174" s="1884"/>
      <c r="AK174" s="1928" t="s">
        <v>730</v>
      </c>
      <c r="AL174" s="1929"/>
      <c r="AM174" s="1929"/>
      <c r="AN174" s="1929"/>
      <c r="AO174" s="1930"/>
    </row>
    <row r="175" spans="1:41" ht="43.15" customHeight="1">
      <c r="A175" s="1821" t="s">
        <v>217</v>
      </c>
      <c r="B175" s="703" t="s">
        <v>218</v>
      </c>
      <c r="C175" s="703" t="s">
        <v>390</v>
      </c>
      <c r="D175" s="1562" t="s">
        <v>630</v>
      </c>
      <c r="E175" s="704" t="s">
        <v>786</v>
      </c>
      <c r="F175" s="704" t="s">
        <v>787</v>
      </c>
      <c r="G175" s="704" t="s">
        <v>771</v>
      </c>
      <c r="H175" s="704" t="s">
        <v>597</v>
      </c>
      <c r="I175" s="705" t="s">
        <v>626</v>
      </c>
      <c r="J175" s="1461" t="s">
        <v>326</v>
      </c>
      <c r="K175" s="1461" t="s">
        <v>765</v>
      </c>
      <c r="L175" s="706" t="s">
        <v>766</v>
      </c>
      <c r="M175" s="1833"/>
      <c r="N175" s="508" t="s">
        <v>605</v>
      </c>
      <c r="O175" s="559" t="s">
        <v>606</v>
      </c>
      <c r="P175" s="1814"/>
      <c r="Q175" s="1816"/>
      <c r="R175" s="1816"/>
      <c r="S175" s="1816"/>
      <c r="T175" s="1848"/>
      <c r="U175" s="1881"/>
      <c r="V175" s="1818"/>
      <c r="W175" s="1820"/>
      <c r="X175" s="1464" t="s">
        <v>473</v>
      </c>
      <c r="Y175" s="1465" t="s">
        <v>489</v>
      </c>
      <c r="Z175" s="1636" t="s">
        <v>814</v>
      </c>
      <c r="AA175" s="1465" t="s">
        <v>377</v>
      </c>
      <c r="AB175" s="1465" t="s">
        <v>477</v>
      </c>
      <c r="AC175" s="1465" t="s">
        <v>225</v>
      </c>
      <c r="AD175" s="713" t="s">
        <v>617</v>
      </c>
      <c r="AE175" s="1092" t="s">
        <v>473</v>
      </c>
      <c r="AF175" s="1465" t="s">
        <v>489</v>
      </c>
      <c r="AG175" s="1636" t="s">
        <v>814</v>
      </c>
      <c r="AH175" s="1465" t="s">
        <v>377</v>
      </c>
      <c r="AI175" s="1465" t="s">
        <v>477</v>
      </c>
      <c r="AJ175" s="718" t="s">
        <v>225</v>
      </c>
      <c r="AK175" s="189" t="s">
        <v>731</v>
      </c>
      <c r="AL175" s="712" t="s">
        <v>493</v>
      </c>
      <c r="AM175" s="712" t="s">
        <v>732</v>
      </c>
      <c r="AN175" s="712" t="s">
        <v>225</v>
      </c>
      <c r="AO175" s="1183" t="s">
        <v>617</v>
      </c>
    </row>
    <row r="176" spans="1:41" ht="36.6" customHeight="1" thickBot="1">
      <c r="A176" s="1856"/>
      <c r="B176" s="458" t="s">
        <v>232</v>
      </c>
      <c r="C176" s="459" t="s">
        <v>482</v>
      </c>
      <c r="D176" s="477" t="s">
        <v>480</v>
      </c>
      <c r="E176" s="1561" t="s">
        <v>228</v>
      </c>
      <c r="F176" s="1558" t="s">
        <v>228</v>
      </c>
      <c r="G176" s="1558" t="s">
        <v>228</v>
      </c>
      <c r="H176" s="1559" t="str">
        <f>G176</f>
        <v>Gg</v>
      </c>
      <c r="I176" s="1560" t="s">
        <v>228</v>
      </c>
      <c r="J176" s="707" t="s">
        <v>229</v>
      </c>
      <c r="K176" s="1114" t="s">
        <v>228</v>
      </c>
      <c r="L176" s="1114" t="s">
        <v>228</v>
      </c>
      <c r="M176" s="1114" t="s">
        <v>228</v>
      </c>
      <c r="N176" s="688" t="s">
        <v>229</v>
      </c>
      <c r="O176" s="690" t="s">
        <v>228</v>
      </c>
      <c r="P176" s="1115" t="s">
        <v>228</v>
      </c>
      <c r="Q176" s="1116" t="s">
        <v>228</v>
      </c>
      <c r="R176" s="1116" t="s">
        <v>228</v>
      </c>
      <c r="S176" s="1117" t="s">
        <v>28</v>
      </c>
      <c r="T176" s="1848"/>
      <c r="U176" s="1117" t="s">
        <v>28</v>
      </c>
      <c r="V176" s="1116" t="s">
        <v>228</v>
      </c>
      <c r="W176" s="1496"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c r="A177" s="100">
        <f>'Input data'!A117</f>
        <v>2017</v>
      </c>
      <c r="B177" s="1506">
        <f>'Input data'!B117</f>
        <v>56.521948041648095</v>
      </c>
      <c r="C177" s="1507">
        <f>'Input data'!C117</f>
        <v>3117.5115237718705</v>
      </c>
      <c r="D177" s="1507">
        <f>'Input data'!E117</f>
        <v>49995051</v>
      </c>
      <c r="E177" s="1508">
        <f>'Input data'!J117*C177</f>
        <v>37506.923384615395</v>
      </c>
      <c r="F177" s="1509">
        <f>'Input data'!L117</f>
        <v>87501.974384615402</v>
      </c>
      <c r="G177" s="1510">
        <f>F177*B11</f>
        <v>68439.708347615408</v>
      </c>
      <c r="H177" s="1513">
        <f t="shared" ref="H177" si="133">E177*$B$12+I177*$E$80-G177</f>
        <v>0</v>
      </c>
      <c r="I177" s="1511">
        <f>D177/1000</f>
        <v>49995.050999999999</v>
      </c>
      <c r="J177" s="1504">
        <f>H17</f>
        <v>6.154773859516615E-2</v>
      </c>
      <c r="K177" s="1501">
        <f>(I177)*J177-(I177)*$J$137</f>
        <v>0</v>
      </c>
      <c r="L177" s="1501">
        <f>(E177)*$C$12*$G$12-(E177)*$C$12*$G$12</f>
        <v>0</v>
      </c>
      <c r="M177" s="1503">
        <f>L177+K177</f>
        <v>0</v>
      </c>
      <c r="N177" s="1453">
        <v>0</v>
      </c>
      <c r="O177" s="1503">
        <f>N177*$E$177*($C$85)*$B$12</f>
        <v>0</v>
      </c>
      <c r="P177" s="1480">
        <f>O177+M177</f>
        <v>0</v>
      </c>
      <c r="Q177" s="1484">
        <f>E177*$B$12+(1-$J$137)*I177-P177</f>
        <v>68439.708347615408</v>
      </c>
      <c r="R177" s="1484">
        <f>Q177-G177</f>
        <v>0</v>
      </c>
      <c r="S177" s="1505">
        <f>R177/(Q177-I177*(1-J177))</f>
        <v>0</v>
      </c>
      <c r="T177" s="1489" t="str">
        <f>IF(AND(S177&gt;=0,S177&lt;=1),"Yes","No")</f>
        <v>Yes</v>
      </c>
      <c r="U177" s="1119">
        <f>IF(S177&lt;=0,0,IF(S177&gt;=1,1,S177))</f>
        <v>0</v>
      </c>
      <c r="V177" s="1493">
        <f>AC177</f>
        <v>87501.974384615402</v>
      </c>
      <c r="W177" s="1490">
        <f t="shared" ref="W177:W210" si="134">(1-V177/F177)</f>
        <v>0</v>
      </c>
      <c r="X177" s="527">
        <f>(E177*$B$12-O177-L177)*(1-U177)+I177*(1-J177)</f>
        <v>68439.708347615408</v>
      </c>
      <c r="Y177" s="1501">
        <f>I177*J177+E177*$G$12*$C$12</f>
        <v>6080.5670370000007</v>
      </c>
      <c r="Z177" s="1531">
        <f>($C$12*$H$12*E177+O177)</f>
        <v>1694.9190000000001</v>
      </c>
      <c r="AA177" s="1531">
        <f>$F$137*$D$11</f>
        <v>0</v>
      </c>
      <c r="AB177" s="1531">
        <f>E177*$E$12</f>
        <v>11286.78</v>
      </c>
      <c r="AC177" s="1531">
        <f>SUM(X177:AB177)</f>
        <v>87501.974384615402</v>
      </c>
      <c r="AD177" s="1487">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7">
        <f>I177*(1-$J$177)-K177</f>
        <v>46917.968670000002</v>
      </c>
      <c r="AL177" s="1498">
        <f>(E177*$C$86*$B$12-L177)*(1-U177)</f>
        <v>20017.905677615392</v>
      </c>
      <c r="AM177" s="1498">
        <f>(E177*($C$85)*$B$12-O177)*(1-U177)</f>
        <v>1503.8340000000005</v>
      </c>
      <c r="AN177" s="1498">
        <f>SUM(AK177:AM177)</f>
        <v>68439.708347615393</v>
      </c>
      <c r="AO177" s="1184">
        <f>AN177-X177</f>
        <v>0</v>
      </c>
    </row>
    <row r="178" spans="1:41">
      <c r="A178" s="100">
        <f>'Input data'!A118</f>
        <v>2018</v>
      </c>
      <c r="B178" s="1506">
        <f>'Input data'!B118</f>
        <v>57.436000617299655</v>
      </c>
      <c r="C178" s="1507">
        <f>'Input data'!C118</f>
        <v>3154.0370052724184</v>
      </c>
      <c r="D178" s="1507">
        <f>'Input data'!E118</f>
        <v>50359792.847133137</v>
      </c>
      <c r="E178" s="1508">
        <f>'Input data'!J118*C178</f>
        <v>37946.363119089809</v>
      </c>
      <c r="F178" s="1509">
        <f>'Input data'!L118</f>
        <v>88306.155966222956</v>
      </c>
      <c r="G178" s="1510">
        <f>G177*0.94</f>
        <v>64333.325846758482</v>
      </c>
      <c r="H178" s="1509">
        <f>E178*$B$12+I178*$E$80-G178</f>
        <v>4700.8289604658348</v>
      </c>
      <c r="I178" s="1511">
        <f t="shared" ref="I178:I210" si="135">D178/1000</f>
        <v>50359.79284713314</v>
      </c>
      <c r="J178" s="1454">
        <f>($J$190-$J$177)/($A$190-$A$177)+J177</f>
        <v>8.7582527933999524E-2</v>
      </c>
      <c r="K178" s="1512">
        <f>(I178)*J178-(I178)*$J$137</f>
        <v>1311.106597922399</v>
      </c>
      <c r="L178" s="1512">
        <f t="shared" ref="L178:L210" si="136">(E178)*$C$12*$G$12-(E178)*$C$12*$G$12</f>
        <v>0</v>
      </c>
      <c r="M178" s="1511">
        <f>L178+K178</f>
        <v>1311.106597922399</v>
      </c>
      <c r="N178" s="1454">
        <v>0.05</v>
      </c>
      <c r="O178" s="1511">
        <f t="shared" ref="O178:O210" si="137">N178*$E$177*($C$85)*$B$12</f>
        <v>75.191700000000026</v>
      </c>
      <c r="P178" s="1481">
        <f>O178+M178</f>
        <v>1386.2982979223991</v>
      </c>
      <c r="Q178" s="1364">
        <f t="shared" ref="Q178:Q210" si="138">E178*$B$12+(1-$J$137)*I178-P178</f>
        <v>67647.856509301913</v>
      </c>
      <c r="R178" s="1364">
        <f>Q178-G178</f>
        <v>3314.5306625434314</v>
      </c>
      <c r="S178" s="1514">
        <f t="shared" ref="S178:S210" si="139">R178/(Q178-I178*(1-J178))</f>
        <v>0.15275248812947445</v>
      </c>
      <c r="T178" s="135" t="str">
        <f t="shared" ref="T178:T210" si="140">IF(AND(S178&gt;=0,S178&lt;=1),"Yes","No")</f>
        <v>Yes</v>
      </c>
      <c r="U178" s="1526">
        <f t="shared" ref="U178:U210" si="141">IF(S178&lt;=0,0,IF(S178&gt;=1,1,S178))</f>
        <v>0.15275248812947445</v>
      </c>
      <c r="V178" s="1494">
        <f t="shared" ref="V178:V210" si="142">AC178</f>
        <v>84991.625303679524</v>
      </c>
      <c r="W178" s="1491">
        <f t="shared" si="134"/>
        <v>3.7534536819961217E-2</v>
      </c>
      <c r="X178" s="527">
        <f t="shared" ref="X178:X210" si="143">(E178*$B$12-O178-L178)*(1-U178)+I178*(1-J178)</f>
        <v>64333.325846758482</v>
      </c>
      <c r="Y178" s="1509">
        <f t="shared" ref="Y178:Y210" si="144">I178*J178+E178*$G$12*$C$12</f>
        <v>7449.3121878932852</v>
      </c>
      <c r="Z178" s="1531">
        <f t="shared" ref="Z178:Z210" si="145">($C$12*$H$12*E178+O178)</f>
        <v>1789.9687605419947</v>
      </c>
      <c r="AA178" s="1531">
        <f t="shared" ref="AA178:AA210" si="146">$F$137*$D$11</f>
        <v>0</v>
      </c>
      <c r="AB178" s="1531">
        <f t="shared" ref="AB178:AB210" si="147">E178*$E$12</f>
        <v>11419.018508485759</v>
      </c>
      <c r="AC178" s="1531">
        <f t="shared" ref="AC178:AC210" si="148">SUM(X178:AB178)</f>
        <v>84991.625303679524</v>
      </c>
      <c r="AD178" s="1487">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7">
        <f t="shared" ref="AK178:AK210" si="155">I178*(1-$J$177)-K178</f>
        <v>45949.154883348674</v>
      </c>
      <c r="AL178" s="1498">
        <f t="shared" ref="AL178:AL210" si="156">(E178*$C$86*$B$12-L178)*(1-U178)</f>
        <v>17158.829451148249</v>
      </c>
      <c r="AM178" s="1498">
        <f t="shared" ref="AM178:AM210" si="157">(E178*($C$85)*$B$12-O178)*(1-U178)</f>
        <v>1225.3415122615597</v>
      </c>
      <c r="AN178" s="1498">
        <f t="shared" ref="AN178:AN210" si="158">SUM(AK178:AM178)</f>
        <v>64333.325846758489</v>
      </c>
      <c r="AO178" s="1184">
        <f t="shared" ref="AO178:AO210" si="159">AN178-X178</f>
        <v>0</v>
      </c>
    </row>
    <row r="179" spans="1:41">
      <c r="A179" s="100">
        <f>'Input data'!A119</f>
        <v>2019</v>
      </c>
      <c r="B179" s="1506">
        <f>'Input data'!B119</f>
        <v>58.364834921819444</v>
      </c>
      <c r="C179" s="1507">
        <f>'Input data'!C119</f>
        <v>4454.6933079776372</v>
      </c>
      <c r="D179" s="1507">
        <f>'Input data'!E119</f>
        <v>53709279.804327965</v>
      </c>
      <c r="E179" s="1508">
        <f>'Input data'!J119*C179</f>
        <v>53594.618441738487</v>
      </c>
      <c r="F179" s="1509">
        <f>'Input data'!L119</f>
        <v>107303.89824606644</v>
      </c>
      <c r="G179" s="1510">
        <f>G177*0.89</f>
        <v>60911.340429377713</v>
      </c>
      <c r="H179" s="1509">
        <f t="shared" ref="H179:H210" si="160">E179*$B$12+I179*$E$80-G179</f>
        <v>20245.228303009062</v>
      </c>
      <c r="I179" s="1511">
        <f t="shared" si="135"/>
        <v>53709.279804327962</v>
      </c>
      <c r="J179" s="1454">
        <f t="shared" ref="J179:J189" si="161">($J$190-$J$177)/($A$190-$A$177)+J178</f>
        <v>0.11361731727283289</v>
      </c>
      <c r="K179" s="1512">
        <f t="shared" ref="K179:K210" si="162">(I179)*J179-(I179)*$J$137</f>
        <v>2796.619570492272</v>
      </c>
      <c r="L179" s="1512">
        <f t="shared" si="136"/>
        <v>0</v>
      </c>
      <c r="M179" s="1511">
        <f t="shared" ref="M179:M210" si="163">L179+K179</f>
        <v>2796.619570492272</v>
      </c>
      <c r="N179" s="1454">
        <v>0.1</v>
      </c>
      <c r="O179" s="1511">
        <f t="shared" si="137"/>
        <v>150.38340000000005</v>
      </c>
      <c r="P179" s="1481">
        <f>O179+M179</f>
        <v>2947.0029704922722</v>
      </c>
      <c r="Q179" s="1364">
        <f t="shared" si="138"/>
        <v>78209.565761894497</v>
      </c>
      <c r="R179" s="1364">
        <f t="shared" ref="R179:R210" si="164">Q179-G179</f>
        <v>17298.225332516784</v>
      </c>
      <c r="S179" s="1514">
        <f t="shared" si="139"/>
        <v>0.5652536336289522</v>
      </c>
      <c r="T179" s="135" t="str">
        <f t="shared" si="140"/>
        <v>Yes</v>
      </c>
      <c r="U179" s="1526">
        <f t="shared" si="141"/>
        <v>0.5652536336289522</v>
      </c>
      <c r="V179" s="1494">
        <f t="shared" si="142"/>
        <v>90005.672913549672</v>
      </c>
      <c r="W179" s="1491">
        <f t="shared" si="134"/>
        <v>0.16120779967237486</v>
      </c>
      <c r="X179" s="527">
        <f t="shared" si="143"/>
        <v>60911.340429377713</v>
      </c>
      <c r="Y179" s="1509">
        <f t="shared" si="144"/>
        <v>10394.061707488836</v>
      </c>
      <c r="Z179" s="1531">
        <f t="shared" si="145"/>
        <v>2572.2972467623063</v>
      </c>
      <c r="AA179" s="1531">
        <f t="shared" si="146"/>
        <v>0</v>
      </c>
      <c r="AB179" s="1531">
        <f t="shared" si="147"/>
        <v>16127.973529920817</v>
      </c>
      <c r="AC179" s="1531">
        <f t="shared" si="148"/>
        <v>90005.672913549672</v>
      </c>
      <c r="AD179" s="1487">
        <f t="shared" si="149"/>
        <v>0</v>
      </c>
      <c r="AE179" s="649">
        <f t="shared" si="150"/>
        <v>0.67675001427835524</v>
      </c>
      <c r="AF179" s="417">
        <f t="shared" si="151"/>
        <v>0.11548229540456098</v>
      </c>
      <c r="AG179" s="417">
        <f t="shared" si="152"/>
        <v>2.8579279099807346E-2</v>
      </c>
      <c r="AH179" s="417">
        <f t="shared" ref="AH179:AH210" si="165">AA179/AC179</f>
        <v>0</v>
      </c>
      <c r="AI179" s="417">
        <f t="shared" si="153"/>
        <v>0.17918841121727644</v>
      </c>
      <c r="AJ179" s="417">
        <f t="shared" si="154"/>
        <v>1</v>
      </c>
      <c r="AK179" s="1497">
        <f t="shared" si="155"/>
        <v>47606.975520304273</v>
      </c>
      <c r="AL179" s="1498">
        <f t="shared" si="156"/>
        <v>12435.531199729867</v>
      </c>
      <c r="AM179" s="1498">
        <f t="shared" si="157"/>
        <v>868.83370934356458</v>
      </c>
      <c r="AN179" s="1498">
        <f t="shared" si="158"/>
        <v>60911.340429377706</v>
      </c>
      <c r="AO179" s="1184">
        <f t="shared" si="159"/>
        <v>0</v>
      </c>
    </row>
    <row r="180" spans="1:41">
      <c r="A180" s="100">
        <f>'Input data'!A120</f>
        <v>2020</v>
      </c>
      <c r="B180" s="1506">
        <f>'Input data'!B120</f>
        <v>59.308690000000006</v>
      </c>
      <c r="C180" s="1507">
        <f>'Input data'!C120</f>
        <v>4168.5687090306074</v>
      </c>
      <c r="D180" s="1507">
        <f>'Input data'!E120</f>
        <v>50685422.165534832</v>
      </c>
      <c r="E180" s="1508">
        <f>'Input data'!J120*C180</f>
        <v>50152.240336853138</v>
      </c>
      <c r="F180" s="1509">
        <f>'Input data'!L120</f>
        <v>100837.66250238798</v>
      </c>
      <c r="G180" s="1510">
        <f>G177*0.81</f>
        <v>55436.163761568481</v>
      </c>
      <c r="H180" s="1509">
        <f t="shared" si="160"/>
        <v>20907.397866108098</v>
      </c>
      <c r="I180" s="1511">
        <f t="shared" si="135"/>
        <v>50685.42216553483</v>
      </c>
      <c r="J180" s="1454">
        <f t="shared" si="161"/>
        <v>0.13965210661166627</v>
      </c>
      <c r="K180" s="1512">
        <f t="shared" si="162"/>
        <v>3958.7528658886044</v>
      </c>
      <c r="L180" s="1512">
        <f t="shared" si="136"/>
        <v>0</v>
      </c>
      <c r="M180" s="1511">
        <f t="shared" si="163"/>
        <v>3958.7528658886044</v>
      </c>
      <c r="N180" s="1454">
        <f>($N$142-$N$137)/($A$102-$A$97)+N179</f>
        <v>0.2</v>
      </c>
      <c r="O180" s="1511">
        <f t="shared" si="137"/>
        <v>300.7668000000001</v>
      </c>
      <c r="P180" s="1481">
        <f t="shared" ref="P180:P210" si="166">O180+M180</f>
        <v>4259.5196658886043</v>
      </c>
      <c r="Q180" s="1364">
        <f t="shared" si="138"/>
        <v>72084.041961787982</v>
      </c>
      <c r="R180" s="1364">
        <f t="shared" si="164"/>
        <v>16647.8782002195</v>
      </c>
      <c r="S180" s="1514">
        <f t="shared" si="139"/>
        <v>0.58460897917464583</v>
      </c>
      <c r="T180" s="135" t="str">
        <f t="shared" si="140"/>
        <v>Yes</v>
      </c>
      <c r="U180" s="1526">
        <f t="shared" si="141"/>
        <v>0.58460897917464583</v>
      </c>
      <c r="V180" s="1494">
        <f t="shared" si="142"/>
        <v>84189.784302168482</v>
      </c>
      <c r="W180" s="1491">
        <f t="shared" si="134"/>
        <v>0.1650958360902629</v>
      </c>
      <c r="X180" s="527">
        <f t="shared" si="143"/>
        <v>55436.163761568474</v>
      </c>
      <c r="Y180" s="1509">
        <f t="shared" si="144"/>
        <v>11094.424163415901</v>
      </c>
      <c r="Z180" s="1531">
        <f t="shared" si="145"/>
        <v>2567.1213118810192</v>
      </c>
      <c r="AA180" s="1531">
        <f t="shared" si="146"/>
        <v>0</v>
      </c>
      <c r="AB180" s="1531">
        <f t="shared" si="147"/>
        <v>15092.075065303088</v>
      </c>
      <c r="AC180" s="1531">
        <f t="shared" si="148"/>
        <v>84189.784302168482</v>
      </c>
      <c r="AD180" s="1487">
        <f t="shared" si="149"/>
        <v>0</v>
      </c>
      <c r="AE180" s="649">
        <f t="shared" si="150"/>
        <v>0.65846663251447002</v>
      </c>
      <c r="AF180" s="417">
        <f t="shared" si="151"/>
        <v>0.13177874554941865</v>
      </c>
      <c r="AG180" s="417">
        <f t="shared" si="152"/>
        <v>3.0492076124904594E-2</v>
      </c>
      <c r="AH180" s="417">
        <f t="shared" si="165"/>
        <v>0</v>
      </c>
      <c r="AI180" s="417">
        <f t="shared" si="153"/>
        <v>0.17926254581120671</v>
      </c>
      <c r="AJ180" s="417">
        <f t="shared" si="154"/>
        <v>1</v>
      </c>
      <c r="AK180" s="1497">
        <f t="shared" si="155"/>
        <v>43607.096185616247</v>
      </c>
      <c r="AL180" s="1498">
        <f t="shared" si="156"/>
        <v>11118.716060892888</v>
      </c>
      <c r="AM180" s="1498">
        <f t="shared" si="157"/>
        <v>710.35151505933902</v>
      </c>
      <c r="AN180" s="1498">
        <f t="shared" si="158"/>
        <v>55436.163761568474</v>
      </c>
      <c r="AO180" s="1184">
        <f t="shared" si="159"/>
        <v>0</v>
      </c>
    </row>
    <row r="181" spans="1:41">
      <c r="A181" s="100">
        <f>'Input data'!A121</f>
        <v>2021</v>
      </c>
      <c r="B181" s="1506">
        <f>'Input data'!B121</f>
        <v>59.991580449204264</v>
      </c>
      <c r="C181" s="1507">
        <f>'Input data'!C121</f>
        <v>4297.0962474291</v>
      </c>
      <c r="D181" s="1507">
        <f>'Input data'!E121</f>
        <v>50618072.007836998</v>
      </c>
      <c r="E181" s="1508">
        <f>'Input data'!J121*C181</f>
        <v>51698.561015627391</v>
      </c>
      <c r="F181" s="1509">
        <f>'Input data'!L121</f>
        <v>102316.63302346438</v>
      </c>
      <c r="G181" s="1510">
        <f>G177*0.65</f>
        <v>44485.810425950018</v>
      </c>
      <c r="H181" s="1509">
        <f t="shared" si="160"/>
        <v>32681.836108810101</v>
      </c>
      <c r="I181" s="1511">
        <f t="shared" si="135"/>
        <v>50618.072007837</v>
      </c>
      <c r="J181" s="1454">
        <f t="shared" si="161"/>
        <v>0.16568689595049965</v>
      </c>
      <c r="K181" s="1512">
        <f t="shared" si="162"/>
        <v>5271.3233658477393</v>
      </c>
      <c r="L181" s="1512">
        <f t="shared" si="136"/>
        <v>0</v>
      </c>
      <c r="M181" s="1511">
        <f t="shared" si="163"/>
        <v>5271.3233658477393</v>
      </c>
      <c r="N181" s="1454">
        <v>0.4</v>
      </c>
      <c r="O181" s="1511">
        <f t="shared" si="137"/>
        <v>601.53360000000021</v>
      </c>
      <c r="P181" s="1481">
        <f t="shared" si="166"/>
        <v>5872.856965847739</v>
      </c>
      <c r="Q181" s="1364">
        <f t="shared" si="138"/>
        <v>71294.789568912383</v>
      </c>
      <c r="R181" s="1364">
        <f t="shared" si="164"/>
        <v>26808.979142962366</v>
      </c>
      <c r="S181" s="1514">
        <f t="shared" si="139"/>
        <v>0.92242874846431089</v>
      </c>
      <c r="T181" s="135" t="str">
        <f t="shared" si="140"/>
        <v>Yes</v>
      </c>
      <c r="U181" s="1526">
        <f t="shared" si="141"/>
        <v>0.92242874846431089</v>
      </c>
      <c r="V181" s="1494">
        <f t="shared" si="142"/>
        <v>75507.653880502039</v>
      </c>
      <c r="W181" s="1491">
        <f t="shared" si="134"/>
        <v>0.26201975525146737</v>
      </c>
      <c r="X181" s="527">
        <f t="shared" si="143"/>
        <v>44485.810425950018</v>
      </c>
      <c r="Y181" s="1509">
        <f t="shared" si="144"/>
        <v>12526.675899139518</v>
      </c>
      <c r="Z181" s="1531">
        <f t="shared" si="145"/>
        <v>2937.7655654826231</v>
      </c>
      <c r="AA181" s="1531">
        <f t="shared" si="146"/>
        <v>0</v>
      </c>
      <c r="AB181" s="1531">
        <f t="shared" si="147"/>
        <v>15557.401989929876</v>
      </c>
      <c r="AC181" s="1531">
        <f t="shared" si="148"/>
        <v>75507.653880502039</v>
      </c>
      <c r="AD181" s="1005">
        <f t="shared" si="149"/>
        <v>0</v>
      </c>
      <c r="AE181" s="649">
        <f t="shared" si="150"/>
        <v>0.58915630588063295</v>
      </c>
      <c r="AF181" s="417">
        <f t="shared" si="151"/>
        <v>0.16589941887168366</v>
      </c>
      <c r="AG181" s="417">
        <f t="shared" si="152"/>
        <v>3.8906857974052717E-2</v>
      </c>
      <c r="AH181" s="417">
        <f t="shared" si="165"/>
        <v>0</v>
      </c>
      <c r="AI181" s="417">
        <f t="shared" si="153"/>
        <v>0.20603741727363067</v>
      </c>
      <c r="AJ181" s="417">
        <f t="shared" si="154"/>
        <v>1</v>
      </c>
      <c r="AK181" s="1497">
        <f t="shared" si="155"/>
        <v>42231.320777859612</v>
      </c>
      <c r="AL181" s="1498">
        <f t="shared" si="156"/>
        <v>2140.3581499506654</v>
      </c>
      <c r="AM181" s="1498">
        <f t="shared" si="157"/>
        <v>114.13149813973843</v>
      </c>
      <c r="AN181" s="1498">
        <f t="shared" si="158"/>
        <v>44485.810425950018</v>
      </c>
      <c r="AO181" s="1184">
        <f t="shared" si="159"/>
        <v>0</v>
      </c>
    </row>
    <row r="182" spans="1:41">
      <c r="A182" s="100">
        <f>'Input data'!A122</f>
        <v>2022</v>
      </c>
      <c r="B182" s="1506">
        <f>'Input data'!B122</f>
        <v>60.682333816399378</v>
      </c>
      <c r="C182" s="1507">
        <f>'Input data'!C122</f>
        <v>4398.6096135141943</v>
      </c>
      <c r="D182" s="1507">
        <f>'Input data'!E122</f>
        <v>50359792.847133137</v>
      </c>
      <c r="E182" s="1508">
        <f>'Input data'!J122*C182</f>
        <v>52919.872954728555</v>
      </c>
      <c r="F182" s="1509">
        <f>'Input data'!L122</f>
        <v>103279.6658018617</v>
      </c>
      <c r="G182" s="1510">
        <f>G177*(1-E4)</f>
        <v>34219.854173807704</v>
      </c>
      <c r="H182" s="1509">
        <f t="shared" si="160"/>
        <v>43406.207184595216</v>
      </c>
      <c r="I182" s="1511">
        <f t="shared" si="135"/>
        <v>50359.79284713314</v>
      </c>
      <c r="J182" s="1454">
        <f t="shared" si="161"/>
        <v>0.19172168528933303</v>
      </c>
      <c r="K182" s="1512">
        <f t="shared" si="162"/>
        <v>6555.5329896119965</v>
      </c>
      <c r="L182" s="1512">
        <f t="shared" si="136"/>
        <v>0</v>
      </c>
      <c r="M182" s="1511">
        <f t="shared" si="163"/>
        <v>6555.5329896119965</v>
      </c>
      <c r="N182" s="1454">
        <f>$E$26</f>
        <v>0.5</v>
      </c>
      <c r="O182" s="1511">
        <f t="shared" si="137"/>
        <v>751.91700000000026</v>
      </c>
      <c r="P182" s="1481">
        <f t="shared" si="166"/>
        <v>7307.4499896119969</v>
      </c>
      <c r="Q182" s="1364">
        <f t="shared" si="138"/>
        <v>70318.611368790924</v>
      </c>
      <c r="R182" s="1364">
        <f t="shared" si="164"/>
        <v>36098.75719498322</v>
      </c>
      <c r="S182" s="1514">
        <f t="shared" si="139"/>
        <v>1.2189808862538272</v>
      </c>
      <c r="T182" s="135" t="str">
        <f t="shared" si="140"/>
        <v>No</v>
      </c>
      <c r="U182" s="1526">
        <f t="shared" si="141"/>
        <v>1</v>
      </c>
      <c r="V182" s="1494">
        <f t="shared" si="142"/>
        <v>73665.78292472985</v>
      </c>
      <c r="W182" s="1491">
        <f>(1-V182/F182)</f>
        <v>0.28673488287563798</v>
      </c>
      <c r="X182" s="527">
        <f t="shared" si="143"/>
        <v>40704.728491659072</v>
      </c>
      <c r="Y182" s="1509">
        <f t="shared" si="144"/>
        <v>13892.789414552248</v>
      </c>
      <c r="Z182" s="1531">
        <f t="shared" si="145"/>
        <v>3143.3394376331189</v>
      </c>
      <c r="AA182" s="1531">
        <f t="shared" si="146"/>
        <v>0</v>
      </c>
      <c r="AB182" s="1531">
        <f t="shared" si="147"/>
        <v>15924.925580885418</v>
      </c>
      <c r="AC182" s="1531">
        <f t="shared" si="148"/>
        <v>73665.78292472985</v>
      </c>
      <c r="AD182" s="1005">
        <f t="shared" si="149"/>
        <v>6484.8743178513687</v>
      </c>
      <c r="AE182" s="649">
        <f t="shared" si="150"/>
        <v>0.55255950423075406</v>
      </c>
      <c r="AF182" s="417">
        <f t="shared" si="151"/>
        <v>0.18859216400031489</v>
      </c>
      <c r="AG182" s="417">
        <f t="shared" si="152"/>
        <v>4.2670278015573625E-2</v>
      </c>
      <c r="AH182" s="417">
        <f t="shared" si="165"/>
        <v>0</v>
      </c>
      <c r="AI182" s="417">
        <f t="shared" si="153"/>
        <v>0.21617805375335755</v>
      </c>
      <c r="AJ182" s="417">
        <f t="shared" si="154"/>
        <v>1.0000000000000002</v>
      </c>
      <c r="AK182" s="1497">
        <f t="shared" si="155"/>
        <v>40704.72849165908</v>
      </c>
      <c r="AL182" s="1498">
        <f t="shared" si="156"/>
        <v>0</v>
      </c>
      <c r="AM182" s="1498">
        <f t="shared" si="157"/>
        <v>0</v>
      </c>
      <c r="AN182" s="1498">
        <f t="shared" si="158"/>
        <v>40704.72849165908</v>
      </c>
      <c r="AO182" s="1184">
        <f t="shared" si="159"/>
        <v>0</v>
      </c>
    </row>
    <row r="183" spans="1:41">
      <c r="A183" s="100">
        <f>'Input data'!A123</f>
        <v>2023</v>
      </c>
      <c r="B183" s="1506">
        <f>'Input data'!B123</f>
        <v>61.381040636574369</v>
      </c>
      <c r="C183" s="1507">
        <f>'Input data'!C123</f>
        <v>4491.3837914672167</v>
      </c>
      <c r="D183" s="1507">
        <f>'Input data'!E123</f>
        <v>49695564.714711666</v>
      </c>
      <c r="E183" s="1508">
        <f>'Input data'!J123*C183</f>
        <v>54036.043322671459</v>
      </c>
      <c r="F183" s="1509">
        <f>'Input data'!L123</f>
        <v>103731.60803738312</v>
      </c>
      <c r="G183" s="1510">
        <f>($G$147-$G$142)/($A$147-$A$142)+G182</f>
        <v>32166.662923379241</v>
      </c>
      <c r="H183" s="1509">
        <f t="shared" si="160"/>
        <v>45476.518546031912</v>
      </c>
      <c r="I183" s="1511">
        <f t="shared" si="135"/>
        <v>49695.564714711669</v>
      </c>
      <c r="J183" s="1454">
        <f t="shared" si="161"/>
        <v>0.21775647462816641</v>
      </c>
      <c r="K183" s="1512">
        <f t="shared" si="162"/>
        <v>7762.8813505312773</v>
      </c>
      <c r="L183" s="1512">
        <f t="shared" si="136"/>
        <v>0</v>
      </c>
      <c r="M183" s="1511">
        <f t="shared" si="163"/>
        <v>7762.8813505312773</v>
      </c>
      <c r="N183" s="1454">
        <f>($N$147-$N$142)/($A$107-$A$102)+N182</f>
        <v>0.5</v>
      </c>
      <c r="O183" s="1511">
        <f t="shared" si="137"/>
        <v>751.91700000000026</v>
      </c>
      <c r="P183" s="1481">
        <f t="shared" si="166"/>
        <v>8514.7983505312768</v>
      </c>
      <c r="Q183" s="1364">
        <f t="shared" si="138"/>
        <v>69128.383118879879</v>
      </c>
      <c r="R183" s="1364">
        <f t="shared" si="164"/>
        <v>36961.720195500639</v>
      </c>
      <c r="S183" s="1514">
        <f t="shared" si="139"/>
        <v>1.2216993903888442</v>
      </c>
      <c r="T183" s="135" t="str">
        <f t="shared" si="140"/>
        <v>No</v>
      </c>
      <c r="U183" s="1526">
        <f t="shared" si="141"/>
        <v>1</v>
      </c>
      <c r="V183" s="1494">
        <f t="shared" si="142"/>
        <v>73477.258656283419</v>
      </c>
      <c r="W183" s="1491">
        <f t="shared" si="134"/>
        <v>0.2916598899170304</v>
      </c>
      <c r="X183" s="527">
        <f t="shared" si="143"/>
        <v>38874.033737780155</v>
      </c>
      <c r="Y183" s="1509">
        <f t="shared" si="144"/>
        <v>15148.636884343905</v>
      </c>
      <c r="Z183" s="1531">
        <f t="shared" si="145"/>
        <v>3193.7786150741408</v>
      </c>
      <c r="AA183" s="1531">
        <f t="shared" si="146"/>
        <v>0</v>
      </c>
      <c r="AB183" s="1531">
        <f t="shared" si="147"/>
        <v>16260.809419085223</v>
      </c>
      <c r="AC183" s="1531">
        <f t="shared" si="148"/>
        <v>73477.258656283419</v>
      </c>
      <c r="AD183" s="1005">
        <f t="shared" si="149"/>
        <v>6707.3708144009142</v>
      </c>
      <c r="AE183" s="649">
        <f t="shared" si="150"/>
        <v>0.52906211321284558</v>
      </c>
      <c r="AF183" s="417">
        <f t="shared" si="151"/>
        <v>0.20616769271710531</v>
      </c>
      <c r="AG183" s="417">
        <f t="shared" si="152"/>
        <v>4.3466218983674948E-2</v>
      </c>
      <c r="AH183" s="417">
        <f t="shared" si="165"/>
        <v>0</v>
      </c>
      <c r="AI183" s="417">
        <f t="shared" si="153"/>
        <v>0.22130397508637425</v>
      </c>
      <c r="AJ183" s="417">
        <f t="shared" si="154"/>
        <v>1.0000000000000002</v>
      </c>
      <c r="AK183" s="1497">
        <f t="shared" si="155"/>
        <v>38874.033737780155</v>
      </c>
      <c r="AL183" s="1498">
        <f t="shared" si="156"/>
        <v>0</v>
      </c>
      <c r="AM183" s="1498">
        <f t="shared" si="157"/>
        <v>0</v>
      </c>
      <c r="AN183" s="1498">
        <f t="shared" si="158"/>
        <v>38874.033737780155</v>
      </c>
      <c r="AO183" s="1184">
        <f t="shared" si="159"/>
        <v>0</v>
      </c>
    </row>
    <row r="184" spans="1:41">
      <c r="A184" s="100">
        <f>'Input data'!A124</f>
        <v>2024</v>
      </c>
      <c r="B184" s="1506">
        <f>'Input data'!B124</f>
        <v>62.087792487153699</v>
      </c>
      <c r="C184" s="1507">
        <f>'Input data'!C124</f>
        <v>4591.0468432418256</v>
      </c>
      <c r="D184" s="1507">
        <f>'Input data'!E124</f>
        <v>49925010.483280979</v>
      </c>
      <c r="E184" s="1508">
        <f>'Input data'!J124*C184</f>
        <v>55235.094045879225</v>
      </c>
      <c r="F184" s="1509">
        <f>'Input data'!L124</f>
        <v>105160.10452916021</v>
      </c>
      <c r="G184" s="1510">
        <f t="shared" ref="G184:G186" si="167">($G$147-$G$142)/($A$147-$A$142)+G183</f>
        <v>30113.471672950778</v>
      </c>
      <c r="H184" s="1509">
        <f t="shared" si="160"/>
        <v>48433.057538749388</v>
      </c>
      <c r="I184" s="1511">
        <f t="shared" si="135"/>
        <v>49925.010483280981</v>
      </c>
      <c r="J184" s="1454">
        <f t="shared" si="161"/>
        <v>0.24379126396699979</v>
      </c>
      <c r="K184" s="1512">
        <f t="shared" si="162"/>
        <v>9098.5099146988778</v>
      </c>
      <c r="L184" s="1512">
        <f t="shared" si="136"/>
        <v>0</v>
      </c>
      <c r="M184" s="1511">
        <f t="shared" si="163"/>
        <v>9098.5099146988778</v>
      </c>
      <c r="N184" s="1454">
        <f>($N$147-$N$142)/($A$107-$A$102)+N183</f>
        <v>0.5</v>
      </c>
      <c r="O184" s="1511">
        <f t="shared" si="137"/>
        <v>751.91700000000026</v>
      </c>
      <c r="P184" s="1481">
        <f t="shared" si="166"/>
        <v>9850.4269146988772</v>
      </c>
      <c r="Q184" s="1364">
        <f t="shared" si="138"/>
        <v>68696.102297001285</v>
      </c>
      <c r="R184" s="1364">
        <f t="shared" si="164"/>
        <v>38582.630624050507</v>
      </c>
      <c r="S184" s="1514">
        <f t="shared" si="139"/>
        <v>1.2469189207298756</v>
      </c>
      <c r="T184" s="135" t="str">
        <f t="shared" si="140"/>
        <v>No</v>
      </c>
      <c r="U184" s="1526">
        <f t="shared" si="141"/>
        <v>1</v>
      </c>
      <c r="V184" s="1494">
        <f t="shared" si="142"/>
        <v>74217.731306155125</v>
      </c>
      <c r="W184" s="1491">
        <f t="shared" si="134"/>
        <v>0.29424060922671458</v>
      </c>
      <c r="X184" s="527">
        <f t="shared" si="143"/>
        <v>37753.729073996197</v>
      </c>
      <c r="Y184" s="1509">
        <f t="shared" si="144"/>
        <v>16594.405069823497</v>
      </c>
      <c r="Z184" s="1531">
        <f t="shared" si="145"/>
        <v>3247.9631140768552</v>
      </c>
      <c r="AA184" s="1531">
        <f t="shared" si="146"/>
        <v>0</v>
      </c>
      <c r="AB184" s="1531">
        <f t="shared" si="147"/>
        <v>16621.634048258569</v>
      </c>
      <c r="AC184" s="1531">
        <f t="shared" si="148"/>
        <v>74217.731306155125</v>
      </c>
      <c r="AD184" s="1005">
        <f t="shared" si="149"/>
        <v>7640.2574010454191</v>
      </c>
      <c r="AE184" s="649">
        <f t="shared" si="150"/>
        <v>0.5086888053510894</v>
      </c>
      <c r="AF184" s="417">
        <f t="shared" si="151"/>
        <v>0.22359084248169772</v>
      </c>
      <c r="AG184" s="417">
        <f t="shared" si="152"/>
        <v>4.3762629993076743E-2</v>
      </c>
      <c r="AH184" s="417">
        <f t="shared" si="165"/>
        <v>0</v>
      </c>
      <c r="AI184" s="417">
        <f t="shared" si="153"/>
        <v>0.22395772217413606</v>
      </c>
      <c r="AJ184" s="417">
        <f t="shared" si="154"/>
        <v>1</v>
      </c>
      <c r="AK184" s="1497">
        <f t="shared" si="155"/>
        <v>37753.729073996197</v>
      </c>
      <c r="AL184" s="1498">
        <f t="shared" si="156"/>
        <v>0</v>
      </c>
      <c r="AM184" s="1498">
        <f t="shared" si="157"/>
        <v>0</v>
      </c>
      <c r="AN184" s="1498">
        <f t="shared" si="158"/>
        <v>37753.729073996197</v>
      </c>
      <c r="AO184" s="1184">
        <f t="shared" si="159"/>
        <v>0</v>
      </c>
    </row>
    <row r="185" spans="1:41">
      <c r="A185" s="100">
        <f>'Input data'!A125</f>
        <v>2025</v>
      </c>
      <c r="B185" s="1506">
        <f>'Input data'!B125</f>
        <v>62.802682000000026</v>
      </c>
      <c r="C185" s="1507">
        <f>'Input data'!C125</f>
        <v>4678.7390647078637</v>
      </c>
      <c r="D185" s="1507">
        <f>'Input data'!E125</f>
        <v>50358140.956147172</v>
      </c>
      <c r="E185" s="1508">
        <f>'Input data'!J125*C185</f>
        <v>56290.12316345374</v>
      </c>
      <c r="F185" s="1509">
        <f>'Input data'!L125</f>
        <v>106648.26411960091</v>
      </c>
      <c r="G185" s="1510">
        <f t="shared" si="167"/>
        <v>28060.280422522315</v>
      </c>
      <c r="H185" s="1509">
        <f t="shared" si="160"/>
        <v>51498.104280119202</v>
      </c>
      <c r="I185" s="1511">
        <f t="shared" si="135"/>
        <v>50358.140956147174</v>
      </c>
      <c r="J185" s="1454">
        <f t="shared" si="161"/>
        <v>0.26982605330583315</v>
      </c>
      <c r="K185" s="1512">
        <f t="shared" si="162"/>
        <v>10488.508730308549</v>
      </c>
      <c r="L185" s="1512">
        <f t="shared" si="136"/>
        <v>0</v>
      </c>
      <c r="M185" s="1511">
        <f t="shared" si="163"/>
        <v>10488.508730308549</v>
      </c>
      <c r="N185" s="1454">
        <f>($N$147-$N$142)/($A$107-$A$102)+N184</f>
        <v>0.5</v>
      </c>
      <c r="O185" s="1511">
        <f t="shared" si="137"/>
        <v>751.91700000000026</v>
      </c>
      <c r="P185" s="1481">
        <f t="shared" si="166"/>
        <v>11240.425730308549</v>
      </c>
      <c r="Q185" s="1364">
        <f t="shared" si="138"/>
        <v>68317.95897233297</v>
      </c>
      <c r="R185" s="1364">
        <f t="shared" si="164"/>
        <v>40257.678549810655</v>
      </c>
      <c r="S185" s="1514">
        <f t="shared" si="139"/>
        <v>1.2760868945963288</v>
      </c>
      <c r="T185" s="135" t="str">
        <f t="shared" si="140"/>
        <v>No</v>
      </c>
      <c r="U185" s="1526">
        <f t="shared" si="141"/>
        <v>1</v>
      </c>
      <c r="V185" s="1494">
        <f t="shared" si="142"/>
        <v>75100.507677399117</v>
      </c>
      <c r="W185" s="1491">
        <f t="shared" si="134"/>
        <v>0.29581125115006557</v>
      </c>
      <c r="X185" s="527">
        <f t="shared" si="143"/>
        <v>36770.202530131144</v>
      </c>
      <c r="Y185" s="1509">
        <f t="shared" si="144"/>
        <v>18095.546857208428</v>
      </c>
      <c r="Z185" s="1531">
        <f t="shared" si="145"/>
        <v>3295.6393491706608</v>
      </c>
      <c r="AA185" s="1531">
        <f t="shared" si="146"/>
        <v>0</v>
      </c>
      <c r="AB185" s="1531">
        <f t="shared" si="147"/>
        <v>16939.118940888875</v>
      </c>
      <c r="AC185" s="1531">
        <f t="shared" si="148"/>
        <v>75100.507677399117</v>
      </c>
      <c r="AD185" s="1005">
        <f t="shared" si="149"/>
        <v>8709.9221076088288</v>
      </c>
      <c r="AE185" s="649">
        <f t="shared" si="150"/>
        <v>0.4896132352138125</v>
      </c>
      <c r="AF185" s="417">
        <f t="shared" si="151"/>
        <v>0.24095105901200364</v>
      </c>
      <c r="AG185" s="417">
        <f t="shared" si="152"/>
        <v>4.3883050209558787E-2</v>
      </c>
      <c r="AH185" s="417">
        <f t="shared" si="165"/>
        <v>0</v>
      </c>
      <c r="AI185" s="417">
        <f t="shared" si="153"/>
        <v>0.22555265556462495</v>
      </c>
      <c r="AJ185" s="417">
        <f t="shared" si="154"/>
        <v>0.99999999999999978</v>
      </c>
      <c r="AK185" s="1497">
        <f t="shared" si="155"/>
        <v>36770.202530131151</v>
      </c>
      <c r="AL185" s="1498">
        <f t="shared" si="156"/>
        <v>0</v>
      </c>
      <c r="AM185" s="1498">
        <f t="shared" si="157"/>
        <v>0</v>
      </c>
      <c r="AN185" s="1498">
        <f t="shared" si="158"/>
        <v>36770.202530131151</v>
      </c>
      <c r="AO185" s="1184">
        <f t="shared" si="159"/>
        <v>0</v>
      </c>
    </row>
    <row r="186" spans="1:41">
      <c r="A186" s="100">
        <f>'Input data'!A126</f>
        <v>2026</v>
      </c>
      <c r="B186" s="1506">
        <f>'Input data'!B126</f>
        <v>63.421065342005143</v>
      </c>
      <c r="C186" s="1507">
        <f>'Input data'!C126</f>
        <v>4759.3318943865906</v>
      </c>
      <c r="D186" s="1507">
        <f>'Input data'!E126</f>
        <v>48568999.176537097</v>
      </c>
      <c r="E186" s="1508">
        <f>'Input data'!J126*C186</f>
        <v>57259.739174512491</v>
      </c>
      <c r="F186" s="1509">
        <f>'Input data'!L126</f>
        <v>105828.73835104959</v>
      </c>
      <c r="G186" s="1510">
        <f t="shared" si="167"/>
        <v>26007.089172093853</v>
      </c>
      <c r="H186" s="1509">
        <f t="shared" si="160"/>
        <v>52428.64395205761</v>
      </c>
      <c r="I186" s="1511">
        <f t="shared" si="135"/>
        <v>48568.999176537094</v>
      </c>
      <c r="J186" s="1454">
        <f t="shared" si="161"/>
        <v>0.2958608426446665</v>
      </c>
      <c r="K186" s="1512">
        <f t="shared" si="162"/>
        <v>11380.352957632032</v>
      </c>
      <c r="L186" s="1512">
        <f t="shared" si="136"/>
        <v>0</v>
      </c>
      <c r="M186" s="1511">
        <f t="shared" si="163"/>
        <v>11380.352957632032</v>
      </c>
      <c r="N186" s="1454">
        <f>($N$147-$N$142)/($A$107-$A$102)+N185</f>
        <v>0.5</v>
      </c>
      <c r="O186" s="1511">
        <f t="shared" si="137"/>
        <v>751.91700000000026</v>
      </c>
      <c r="P186" s="1481">
        <f t="shared" si="166"/>
        <v>12132.269957632032</v>
      </c>
      <c r="Q186" s="1364">
        <f t="shared" si="138"/>
        <v>66303.463166519432</v>
      </c>
      <c r="R186" s="1364">
        <f t="shared" si="164"/>
        <v>40296.373994425579</v>
      </c>
      <c r="S186" s="1514">
        <f t="shared" si="139"/>
        <v>1.2551773006646161</v>
      </c>
      <c r="T186" s="135" t="str">
        <f t="shared" si="140"/>
        <v>No</v>
      </c>
      <c r="U186" s="1526">
        <f t="shared" si="141"/>
        <v>1</v>
      </c>
      <c r="V186" s="1494">
        <f t="shared" si="142"/>
        <v>73724.609338288879</v>
      </c>
      <c r="W186" s="1491">
        <f t="shared" si="134"/>
        <v>0.30335927190463674</v>
      </c>
      <c r="X186" s="527">
        <f t="shared" si="143"/>
        <v>34199.334153758718</v>
      </c>
      <c r="Y186" s="1509">
        <f t="shared" si="144"/>
        <v>18954.918501820048</v>
      </c>
      <c r="Z186" s="1531">
        <f t="shared" si="145"/>
        <v>3339.4558089478387</v>
      </c>
      <c r="AA186" s="1531">
        <f t="shared" si="146"/>
        <v>0</v>
      </c>
      <c r="AB186" s="1531">
        <f t="shared" si="147"/>
        <v>17230.900873762275</v>
      </c>
      <c r="AC186" s="1531">
        <f t="shared" si="148"/>
        <v>73724.609338288879</v>
      </c>
      <c r="AD186" s="1005">
        <f t="shared" si="149"/>
        <v>8192.2449816648659</v>
      </c>
      <c r="AE186" s="1454">
        <f t="shared" si="150"/>
        <v>0.46387948964006642</v>
      </c>
      <c r="AF186" s="1504">
        <f t="shared" si="151"/>
        <v>0.25710436002237058</v>
      </c>
      <c r="AG186" s="1504">
        <f t="shared" si="152"/>
        <v>4.5296351366537417E-2</v>
      </c>
      <c r="AH186" s="1504">
        <f t="shared" si="165"/>
        <v>0</v>
      </c>
      <c r="AI186" s="1504">
        <f t="shared" si="153"/>
        <v>0.23371979897102563</v>
      </c>
      <c r="AJ186" s="1504">
        <f t="shared" si="154"/>
        <v>1</v>
      </c>
      <c r="AK186" s="1555">
        <f t="shared" si="155"/>
        <v>34199.334153758711</v>
      </c>
      <c r="AL186" s="1556">
        <f t="shared" si="156"/>
        <v>0</v>
      </c>
      <c r="AM186" s="1556">
        <f t="shared" si="157"/>
        <v>0</v>
      </c>
      <c r="AN186" s="1556">
        <f t="shared" si="158"/>
        <v>34199.334153758711</v>
      </c>
      <c r="AO186" s="1543">
        <f t="shared" si="159"/>
        <v>0</v>
      </c>
    </row>
    <row r="187" spans="1:41">
      <c r="A187" s="100">
        <f>'Input data'!A127</f>
        <v>2027</v>
      </c>
      <c r="B187" s="1506">
        <f>'Input data'!B127</f>
        <v>64.045537563425796</v>
      </c>
      <c r="C187" s="1507">
        <f>'Input data'!C127</f>
        <v>4833.4252769493587</v>
      </c>
      <c r="D187" s="1507">
        <f>'Input data'!E127</f>
        <v>48190122.249078177</v>
      </c>
      <c r="E187" s="1508">
        <f>'Input data'!J127*C187</f>
        <v>58151.160040770083</v>
      </c>
      <c r="F187" s="1509">
        <f>'Input data'!L127</f>
        <v>106341.28228984826</v>
      </c>
      <c r="G187" s="1510">
        <f>G177*(1-E5)</f>
        <v>23953.89792166539</v>
      </c>
      <c r="H187" s="1509">
        <f t="shared" si="160"/>
        <v>54637.780932861067</v>
      </c>
      <c r="I187" s="1511">
        <f t="shared" si="135"/>
        <v>48190.12224907818</v>
      </c>
      <c r="J187" s="1454">
        <f t="shared" si="161"/>
        <v>0.32189563198349985</v>
      </c>
      <c r="K187" s="1512">
        <f t="shared" si="162"/>
        <v>12546.196809673773</v>
      </c>
      <c r="L187" s="1512">
        <f t="shared" si="136"/>
        <v>0</v>
      </c>
      <c r="M187" s="1511">
        <f t="shared" si="163"/>
        <v>12546.196809673773</v>
      </c>
      <c r="N187" s="1454">
        <f>$C$27</f>
        <v>0.5</v>
      </c>
      <c r="O187" s="1511">
        <f t="shared" si="137"/>
        <v>751.91700000000026</v>
      </c>
      <c r="P187" s="1481">
        <f t="shared" si="166"/>
        <v>13298.113809673772</v>
      </c>
      <c r="Q187" s="1364">
        <f t="shared" si="138"/>
        <v>65293.565044852687</v>
      </c>
      <c r="R187" s="1364">
        <f t="shared" si="164"/>
        <v>41339.667123187297</v>
      </c>
      <c r="S187" s="1514">
        <f t="shared" si="139"/>
        <v>1.2674801547966901</v>
      </c>
      <c r="T187" s="135" t="str">
        <f t="shared" si="140"/>
        <v>No</v>
      </c>
      <c r="U187" s="1526">
        <f t="shared" si="141"/>
        <v>1</v>
      </c>
      <c r="V187" s="1494">
        <f t="shared" si="142"/>
        <v>73725.649637344613</v>
      </c>
      <c r="W187" s="1491">
        <f t="shared" si="134"/>
        <v>0.30670715972377605</v>
      </c>
      <c r="X187" s="527">
        <f t="shared" si="143"/>
        <v>32677.932392349045</v>
      </c>
      <c r="Y187" s="1509">
        <f t="shared" si="144"/>
        <v>20168.826661773055</v>
      </c>
      <c r="Z187" s="1531">
        <f t="shared" si="145"/>
        <v>3379.7386694672964</v>
      </c>
      <c r="AA187" s="1531">
        <f t="shared" si="146"/>
        <v>0</v>
      </c>
      <c r="AB187" s="1531">
        <f t="shared" si="147"/>
        <v>17499.151913755224</v>
      </c>
      <c r="AC187" s="1531">
        <f t="shared" si="148"/>
        <v>73725.649637344613</v>
      </c>
      <c r="AD187" s="1005">
        <f t="shared" si="149"/>
        <v>8724.0344706836549</v>
      </c>
      <c r="AE187" s="1454">
        <f t="shared" si="150"/>
        <v>0.44323695420917025</v>
      </c>
      <c r="AF187" s="1504">
        <f t="shared" si="151"/>
        <v>0.27356594022546044</v>
      </c>
      <c r="AG187" s="1504">
        <f t="shared" si="152"/>
        <v>4.5842100898292264E-2</v>
      </c>
      <c r="AH187" s="1504">
        <f t="shared" si="165"/>
        <v>0</v>
      </c>
      <c r="AI187" s="1504">
        <f t="shared" si="153"/>
        <v>0.23735500466707712</v>
      </c>
      <c r="AJ187" s="1504">
        <f t="shared" si="154"/>
        <v>1</v>
      </c>
      <c r="AK187" s="1555">
        <f t="shared" si="155"/>
        <v>32677.932392349041</v>
      </c>
      <c r="AL187" s="1556">
        <f t="shared" si="156"/>
        <v>0</v>
      </c>
      <c r="AM187" s="1556">
        <f t="shared" si="157"/>
        <v>0</v>
      </c>
      <c r="AN187" s="1556">
        <f t="shared" si="158"/>
        <v>32677.932392349041</v>
      </c>
      <c r="AO187" s="1543">
        <f t="shared" si="159"/>
        <v>0</v>
      </c>
    </row>
    <row r="188" spans="1:41">
      <c r="A188" s="100">
        <f>'Input data'!A128</f>
        <v>2028</v>
      </c>
      <c r="B188" s="1506">
        <f>'Input data'!B128</f>
        <v>64.676158618096451</v>
      </c>
      <c r="C188" s="1507">
        <f>'Input data'!C128</f>
        <v>4919.2292537742524</v>
      </c>
      <c r="D188" s="1507">
        <f>'Input data'!E128</f>
        <v>48438037.819118328</v>
      </c>
      <c r="E188" s="1508">
        <f>'Input data'!J128*C188</f>
        <v>59183.471600912402</v>
      </c>
      <c r="F188" s="1509">
        <f>'Input data'!L128</f>
        <v>107621.50942003072</v>
      </c>
      <c r="G188" s="1510">
        <f>($G$152-$G$147)/($A$152-$A$147)+G187</f>
        <v>21900.706671236927</v>
      </c>
      <c r="H188" s="1509">
        <f t="shared" si="160"/>
        <v>57515.976833630208</v>
      </c>
      <c r="I188" s="1511">
        <f t="shared" si="135"/>
        <v>48438.037819118326</v>
      </c>
      <c r="J188" s="1454">
        <f t="shared" si="161"/>
        <v>0.34793042132233321</v>
      </c>
      <c r="K188" s="1512">
        <f t="shared" si="162"/>
        <v>13871.815216679082</v>
      </c>
      <c r="L188" s="1512">
        <f t="shared" si="136"/>
        <v>0</v>
      </c>
      <c r="M188" s="1511">
        <f t="shared" si="163"/>
        <v>13871.815216679082</v>
      </c>
      <c r="N188" s="1454">
        <f>N187</f>
        <v>0.5</v>
      </c>
      <c r="O188" s="1511">
        <f t="shared" si="137"/>
        <v>751.91700000000026</v>
      </c>
      <c r="P188" s="1481">
        <f t="shared" si="166"/>
        <v>14623.732216679082</v>
      </c>
      <c r="Q188" s="1364">
        <f t="shared" si="138"/>
        <v>64792.951288188051</v>
      </c>
      <c r="R188" s="1364">
        <f t="shared" si="164"/>
        <v>42892.244616951124</v>
      </c>
      <c r="S188" s="1514">
        <f t="shared" si="139"/>
        <v>1.2916246074570821</v>
      </c>
      <c r="T188" s="135" t="str">
        <f t="shared" si="140"/>
        <v>No</v>
      </c>
      <c r="U188" s="1526">
        <f t="shared" si="141"/>
        <v>1</v>
      </c>
      <c r="V188" s="1494">
        <f t="shared" si="142"/>
        <v>74413.529044528055</v>
      </c>
      <c r="W188" s="1491">
        <f t="shared" si="134"/>
        <v>0.30856267073802934</v>
      </c>
      <c r="X188" s="527">
        <f t="shared" si="143"/>
        <v>31584.970912685378</v>
      </c>
      <c r="Y188" s="1509">
        <f t="shared" si="144"/>
        <v>21592.369302358646</v>
      </c>
      <c r="Z188" s="1531">
        <f t="shared" si="145"/>
        <v>3426.3883095687434</v>
      </c>
      <c r="AA188" s="1531">
        <f t="shared" si="146"/>
        <v>0</v>
      </c>
      <c r="AB188" s="1531">
        <f t="shared" si="147"/>
        <v>17809.800519915287</v>
      </c>
      <c r="AC188" s="1531">
        <f t="shared" si="148"/>
        <v>74413.529044528055</v>
      </c>
      <c r="AD188" s="1005">
        <f t="shared" si="149"/>
        <v>9684.2642414484508</v>
      </c>
      <c r="AE188" s="1454">
        <f t="shared" si="150"/>
        <v>0.42445199573568615</v>
      </c>
      <c r="AF188" s="1504">
        <f t="shared" si="151"/>
        <v>0.29016725291227702</v>
      </c>
      <c r="AG188" s="1504">
        <f t="shared" si="152"/>
        <v>4.6045233354252542E-2</v>
      </c>
      <c r="AH188" s="1504">
        <f t="shared" si="165"/>
        <v>0</v>
      </c>
      <c r="AI188" s="1504">
        <f t="shared" si="153"/>
        <v>0.23933551799778427</v>
      </c>
      <c r="AJ188" s="1504">
        <f t="shared" si="154"/>
        <v>1</v>
      </c>
      <c r="AK188" s="1555">
        <f t="shared" si="155"/>
        <v>31584.970912685378</v>
      </c>
      <c r="AL188" s="1556">
        <f t="shared" si="156"/>
        <v>0</v>
      </c>
      <c r="AM188" s="1556">
        <f t="shared" si="157"/>
        <v>0</v>
      </c>
      <c r="AN188" s="1556">
        <f t="shared" si="158"/>
        <v>31584.970912685378</v>
      </c>
      <c r="AO188" s="1543">
        <f t="shared" si="159"/>
        <v>0</v>
      </c>
    </row>
    <row r="189" spans="1:41">
      <c r="A189" s="100">
        <f>'Input data'!A129</f>
        <v>2029</v>
      </c>
      <c r="B189" s="1506">
        <f>'Input data'!B129</f>
        <v>65.31298905018393</v>
      </c>
      <c r="C189" s="1507">
        <f>'Input data'!C129</f>
        <v>5028.6283675846353</v>
      </c>
      <c r="D189" s="1507">
        <f>'Input data'!E129</f>
        <v>47172284.942566738</v>
      </c>
      <c r="E189" s="1508">
        <f>'Input data'!J129*C189</f>
        <v>60499.65733069805</v>
      </c>
      <c r="F189" s="1509">
        <f>'Input data'!L129</f>
        <v>107671.94227326478</v>
      </c>
      <c r="G189" s="1510">
        <f t="shared" ref="G189:G191" si="168">($G$152-$G$147)/($A$152-$A$147)+G188</f>
        <v>19847.515420808464</v>
      </c>
      <c r="H189" s="1509">
        <f t="shared" si="160"/>
        <v>59136.556177329672</v>
      </c>
      <c r="I189" s="1511">
        <f t="shared" si="135"/>
        <v>47172.284942566737</v>
      </c>
      <c r="J189" s="1454">
        <f t="shared" si="161"/>
        <v>0.37396521066116656</v>
      </c>
      <c r="K189" s="1512">
        <f t="shared" si="162"/>
        <v>14737.446013333756</v>
      </c>
      <c r="L189" s="1512">
        <f t="shared" si="136"/>
        <v>0</v>
      </c>
      <c r="M189" s="1511">
        <f t="shared" si="163"/>
        <v>14737.446013333756</v>
      </c>
      <c r="N189" s="1454">
        <f t="shared" ref="N189:N210" si="169">N188</f>
        <v>0.5</v>
      </c>
      <c r="O189" s="1511">
        <f t="shared" si="137"/>
        <v>751.91700000000026</v>
      </c>
      <c r="P189" s="1481">
        <f t="shared" si="166"/>
        <v>15489.363013333756</v>
      </c>
      <c r="Q189" s="1364">
        <f t="shared" si="138"/>
        <v>63494.708584804379</v>
      </c>
      <c r="R189" s="1364">
        <f t="shared" si="164"/>
        <v>43647.193163995915</v>
      </c>
      <c r="S189" s="1514">
        <f t="shared" si="139"/>
        <v>1.2851312940159219</v>
      </c>
      <c r="T189" s="135" t="str">
        <f t="shared" si="140"/>
        <v>No</v>
      </c>
      <c r="U189" s="1526">
        <f t="shared" si="141"/>
        <v>1</v>
      </c>
      <c r="V189" s="1494">
        <f t="shared" si="142"/>
        <v>73708.725155111606</v>
      </c>
      <c r="W189" s="1491">
        <f t="shared" si="134"/>
        <v>0.31543238100002513</v>
      </c>
      <c r="X189" s="527">
        <f t="shared" si="143"/>
        <v>29531.49146665119</v>
      </c>
      <c r="Y189" s="1509">
        <f t="shared" si="144"/>
        <v>22485.493578564485</v>
      </c>
      <c r="Z189" s="1531">
        <f t="shared" si="145"/>
        <v>3485.8660805942818</v>
      </c>
      <c r="AA189" s="1531">
        <f t="shared" si="146"/>
        <v>0</v>
      </c>
      <c r="AB189" s="1531">
        <f t="shared" si="147"/>
        <v>18205.874029301649</v>
      </c>
      <c r="AC189" s="1531">
        <f t="shared" si="148"/>
        <v>73708.725155111606</v>
      </c>
      <c r="AD189" s="1005">
        <f t="shared" si="149"/>
        <v>9683.9760458427263</v>
      </c>
      <c r="AE189" s="1454">
        <f t="shared" si="150"/>
        <v>0.4006512309703571</v>
      </c>
      <c r="AF189" s="1504">
        <f t="shared" si="151"/>
        <v>0.30505877738688775</v>
      </c>
      <c r="AG189" s="1504">
        <f t="shared" si="152"/>
        <v>4.729244839411717E-2</v>
      </c>
      <c r="AH189" s="1504">
        <f t="shared" si="165"/>
        <v>0</v>
      </c>
      <c r="AI189" s="1504">
        <f t="shared" si="153"/>
        <v>0.24699754324863799</v>
      </c>
      <c r="AJ189" s="1504">
        <f t="shared" si="154"/>
        <v>1</v>
      </c>
      <c r="AK189" s="1555">
        <f t="shared" si="155"/>
        <v>29531.49146665119</v>
      </c>
      <c r="AL189" s="1556">
        <f t="shared" si="156"/>
        <v>0</v>
      </c>
      <c r="AM189" s="1556">
        <f t="shared" si="157"/>
        <v>0</v>
      </c>
      <c r="AN189" s="1556">
        <f t="shared" si="158"/>
        <v>29531.49146665119</v>
      </c>
      <c r="AO189" s="1543">
        <f t="shared" si="159"/>
        <v>0</v>
      </c>
    </row>
    <row r="190" spans="1:41">
      <c r="A190" s="100">
        <f>'Input data'!A130</f>
        <v>2030</v>
      </c>
      <c r="B190" s="1506">
        <f>'Input data'!B130</f>
        <v>65.956090000000003</v>
      </c>
      <c r="C190" s="1507">
        <f>'Input data'!C130</f>
        <v>5124.9200809700387</v>
      </c>
      <c r="D190" s="1507">
        <f>'Input data'!E130</f>
        <v>46124498.893218428</v>
      </c>
      <c r="E190" s="1508">
        <f>'Input data'!J130*C190</f>
        <v>61658.147327921863</v>
      </c>
      <c r="F190" s="1509">
        <f>'Input data'!L130</f>
        <v>107782.64622114028</v>
      </c>
      <c r="G190" s="1510">
        <f t="shared" si="168"/>
        <v>17794.324170380001</v>
      </c>
      <c r="H190" s="1509">
        <f t="shared" si="160"/>
        <v>60871.200048832761</v>
      </c>
      <c r="I190" s="1511">
        <f t="shared" si="135"/>
        <v>46124.498893218428</v>
      </c>
      <c r="J190" s="1504">
        <f>$H$19</f>
        <v>0.4</v>
      </c>
      <c r="K190" s="1512">
        <f t="shared" si="162"/>
        <v>15610.940956574535</v>
      </c>
      <c r="L190" s="1512">
        <f t="shared" si="136"/>
        <v>0</v>
      </c>
      <c r="M190" s="1511">
        <f t="shared" si="163"/>
        <v>15610.940956574535</v>
      </c>
      <c r="N190" s="1454">
        <f t="shared" si="169"/>
        <v>0.5</v>
      </c>
      <c r="O190" s="1511">
        <f t="shared" si="137"/>
        <v>751.91700000000026</v>
      </c>
      <c r="P190" s="1481">
        <f t="shared" si="166"/>
        <v>16362.857956574535</v>
      </c>
      <c r="Q190" s="1364">
        <f t="shared" si="138"/>
        <v>62302.666262638231</v>
      </c>
      <c r="R190" s="1364">
        <f t="shared" si="164"/>
        <v>44508.34209225823</v>
      </c>
      <c r="S190" s="1514">
        <f t="shared" si="139"/>
        <v>1.2853293462611781</v>
      </c>
      <c r="T190" s="135" t="str">
        <f t="shared" si="140"/>
        <v>No</v>
      </c>
      <c r="U190" s="1526">
        <f t="shared" si="141"/>
        <v>1</v>
      </c>
      <c r="V190" s="1494">
        <f t="shared" si="142"/>
        <v>73154.67929443311</v>
      </c>
      <c r="W190" s="1491">
        <f t="shared" si="134"/>
        <v>0.32127590239026171</v>
      </c>
      <c r="X190" s="527">
        <f t="shared" si="143"/>
        <v>27674.699335931055</v>
      </c>
      <c r="Y190" s="1509">
        <f t="shared" si="144"/>
        <v>23387.269385519867</v>
      </c>
      <c r="Z190" s="1531">
        <f t="shared" si="145"/>
        <v>3538.217660793739</v>
      </c>
      <c r="AA190" s="1531">
        <f t="shared" si="146"/>
        <v>0</v>
      </c>
      <c r="AB190" s="1531">
        <f t="shared" si="147"/>
        <v>18554.49291218846</v>
      </c>
      <c r="AC190" s="1531">
        <f t="shared" si="148"/>
        <v>73154.67929443311</v>
      </c>
      <c r="AD190" s="1005">
        <f t="shared" si="149"/>
        <v>9880.3751655510532</v>
      </c>
      <c r="AE190" s="1454">
        <f t="shared" si="150"/>
        <v>0.37830388435640411</v>
      </c>
      <c r="AF190" s="1504">
        <f t="shared" si="151"/>
        <v>0.31969615082844849</v>
      </c>
      <c r="AG190" s="1504">
        <f t="shared" si="152"/>
        <v>4.8366252096507904E-2</v>
      </c>
      <c r="AH190" s="1504">
        <f t="shared" si="165"/>
        <v>0</v>
      </c>
      <c r="AI190" s="1504">
        <f t="shared" si="153"/>
        <v>0.2536337127186396</v>
      </c>
      <c r="AJ190" s="1504">
        <f t="shared" si="154"/>
        <v>1</v>
      </c>
      <c r="AK190" s="1555">
        <f t="shared" si="155"/>
        <v>27674.699335931051</v>
      </c>
      <c r="AL190" s="1556">
        <f t="shared" si="156"/>
        <v>0</v>
      </c>
      <c r="AM190" s="1556">
        <f t="shared" si="157"/>
        <v>0</v>
      </c>
      <c r="AN190" s="1556">
        <f t="shared" si="158"/>
        <v>27674.699335931051</v>
      </c>
      <c r="AO190" s="1543">
        <f t="shared" si="159"/>
        <v>0</v>
      </c>
    </row>
    <row r="191" spans="1:41">
      <c r="A191" s="100">
        <f>'Input data'!A131</f>
        <v>2031</v>
      </c>
      <c r="B191" s="1506">
        <f>'Input data'!B131</f>
        <v>66.518977190687664</v>
      </c>
      <c r="C191" s="1507">
        <f>'Input data'!C131</f>
        <v>5062.3234119259168</v>
      </c>
      <c r="D191" s="1507">
        <f>'Input data'!E131</f>
        <v>43997076.132191785</v>
      </c>
      <c r="E191" s="1508">
        <f>'Input data'!J131*C191</f>
        <v>60905.0439465655</v>
      </c>
      <c r="F191" s="1509">
        <f>'Input data'!L131</f>
        <v>104902.12007875729</v>
      </c>
      <c r="G191" s="1510">
        <f t="shared" si="168"/>
        <v>15741.132919951538</v>
      </c>
      <c r="H191" s="1509">
        <f t="shared" si="160"/>
        <v>60495.770516089491</v>
      </c>
      <c r="I191" s="1511">
        <f t="shared" si="135"/>
        <v>43997.076132191782</v>
      </c>
      <c r="J191" s="1504">
        <f>J190</f>
        <v>0.4</v>
      </c>
      <c r="K191" s="1512">
        <f t="shared" si="162"/>
        <v>14890.909912140951</v>
      </c>
      <c r="L191" s="1512">
        <f t="shared" si="136"/>
        <v>0</v>
      </c>
      <c r="M191" s="1511">
        <f t="shared" si="163"/>
        <v>14890.909912140951</v>
      </c>
      <c r="N191" s="1454">
        <f t="shared" si="169"/>
        <v>0.5</v>
      </c>
      <c r="O191" s="1511">
        <f t="shared" si="137"/>
        <v>751.91700000000026</v>
      </c>
      <c r="P191" s="1481">
        <f t="shared" si="166"/>
        <v>15642.82691214095</v>
      </c>
      <c r="Q191" s="1364">
        <f t="shared" si="138"/>
        <v>60594.076523900076</v>
      </c>
      <c r="R191" s="1364">
        <f t="shared" si="164"/>
        <v>44852.943603948537</v>
      </c>
      <c r="S191" s="1514">
        <f t="shared" si="139"/>
        <v>1.3116494758615027</v>
      </c>
      <c r="T191" s="135" t="str">
        <f t="shared" si="140"/>
        <v>No</v>
      </c>
      <c r="U191" s="1526">
        <f t="shared" si="141"/>
        <v>1</v>
      </c>
      <c r="V191" s="1494">
        <f t="shared" si="142"/>
        <v>70706.289234172262</v>
      </c>
      <c r="W191" s="1491">
        <f t="shared" si="134"/>
        <v>0.32597845323728303</v>
      </c>
      <c r="X191" s="527">
        <f t="shared" si="143"/>
        <v>26398.245679315067</v>
      </c>
      <c r="Y191" s="1509">
        <f t="shared" si="144"/>
        <v>22475.993162194154</v>
      </c>
      <c r="Z191" s="1531">
        <f t="shared" si="145"/>
        <v>3504.1852978367515</v>
      </c>
      <c r="AA191" s="1531">
        <f t="shared" si="146"/>
        <v>0</v>
      </c>
      <c r="AB191" s="1531">
        <f t="shared" si="147"/>
        <v>18327.865094826295</v>
      </c>
      <c r="AC191" s="1531">
        <f t="shared" si="148"/>
        <v>70706.289234172262</v>
      </c>
      <c r="AD191" s="1005">
        <f t="shared" si="149"/>
        <v>10657.112759363528</v>
      </c>
      <c r="AE191" s="1454">
        <f t="shared" si="150"/>
        <v>0.37335074383392797</v>
      </c>
      <c r="AF191" s="1504">
        <f t="shared" si="151"/>
        <v>0.3178782737099366</v>
      </c>
      <c r="AG191" s="1504">
        <f t="shared" si="152"/>
        <v>4.9559739816513848E-2</v>
      </c>
      <c r="AH191" s="1504">
        <f t="shared" si="165"/>
        <v>0</v>
      </c>
      <c r="AI191" s="1504">
        <f t="shared" si="153"/>
        <v>0.25921124263962164</v>
      </c>
      <c r="AJ191" s="1504">
        <f t="shared" si="154"/>
        <v>1</v>
      </c>
      <c r="AK191" s="1555">
        <f t="shared" si="155"/>
        <v>26398.245679315063</v>
      </c>
      <c r="AL191" s="1556">
        <f t="shared" si="156"/>
        <v>0</v>
      </c>
      <c r="AM191" s="1556">
        <f t="shared" si="157"/>
        <v>0</v>
      </c>
      <c r="AN191" s="1556">
        <f t="shared" si="158"/>
        <v>26398.245679315063</v>
      </c>
      <c r="AO191" s="1543">
        <f t="shared" si="159"/>
        <v>0</v>
      </c>
    </row>
    <row r="192" spans="1:41">
      <c r="A192" s="100">
        <f>'Input data'!A132</f>
        <v>2032</v>
      </c>
      <c r="B192" s="1506">
        <f>'Input data'!B132</f>
        <v>67.08666821358311</v>
      </c>
      <c r="C192" s="1507">
        <f>'Input data'!C132</f>
        <v>5235.9881649481622</v>
      </c>
      <c r="D192" s="1507">
        <f>'Input data'!E132</f>
        <v>43370376.757557131</v>
      </c>
      <c r="E192" s="1508">
        <f>'Input data'!J132*C192</f>
        <v>62994.412513945383</v>
      </c>
      <c r="F192" s="1509">
        <f>'Input data'!L132</f>
        <v>106364.78927150252</v>
      </c>
      <c r="G192" s="1510">
        <f>G177*(1-E6)</f>
        <v>13687.941669523079</v>
      </c>
      <c r="H192" s="1509">
        <f t="shared" si="160"/>
        <v>63159.728880893526</v>
      </c>
      <c r="I192" s="1511">
        <f t="shared" si="135"/>
        <v>43370.376757557133</v>
      </c>
      <c r="J192" s="1504">
        <f t="shared" ref="J192:J210" si="170">J191</f>
        <v>0.4</v>
      </c>
      <c r="K192" s="1512">
        <f t="shared" si="162"/>
        <v>14678.802091574857</v>
      </c>
      <c r="L192" s="1512">
        <f t="shared" si="136"/>
        <v>0</v>
      </c>
      <c r="M192" s="1511">
        <f t="shared" si="163"/>
        <v>14678.802091574857</v>
      </c>
      <c r="N192" s="1454">
        <f t="shared" si="169"/>
        <v>0.5</v>
      </c>
      <c r="O192" s="1511">
        <f t="shared" si="137"/>
        <v>751.91700000000026</v>
      </c>
      <c r="P192" s="1481">
        <f t="shared" si="166"/>
        <v>15430.719091574856</v>
      </c>
      <c r="Q192" s="1364">
        <f t="shared" si="138"/>
        <v>61416.951458841744</v>
      </c>
      <c r="R192" s="1364">
        <f t="shared" si="164"/>
        <v>47729.009789318661</v>
      </c>
      <c r="S192" s="1514">
        <f t="shared" si="139"/>
        <v>1.3484780357558626</v>
      </c>
      <c r="T192" s="135" t="str">
        <f t="shared" si="140"/>
        <v>No</v>
      </c>
      <c r="U192" s="1526">
        <f t="shared" si="141"/>
        <v>1</v>
      </c>
      <c r="V192" s="1494">
        <f t="shared" si="142"/>
        <v>70970.063867195044</v>
      </c>
      <c r="W192" s="1491">
        <f t="shared" si="134"/>
        <v>0.33276731563826367</v>
      </c>
      <c r="X192" s="527">
        <f t="shared" si="143"/>
        <v>26022.22605453428</v>
      </c>
      <c r="Y192" s="1509">
        <f t="shared" si="144"/>
        <v>22392.626163510547</v>
      </c>
      <c r="Z192" s="1531">
        <f t="shared" si="145"/>
        <v>3598.6028123457536</v>
      </c>
      <c r="AA192" s="1531">
        <f t="shared" si="146"/>
        <v>0</v>
      </c>
      <c r="AB192" s="1531">
        <f t="shared" si="147"/>
        <v>18956.608836804473</v>
      </c>
      <c r="AC192" s="1531">
        <f t="shared" si="148"/>
        <v>70970.063867195044</v>
      </c>
      <c r="AD192" s="1005">
        <f t="shared" si="149"/>
        <v>12334.2843850112</v>
      </c>
      <c r="AE192" s="1454">
        <f t="shared" si="150"/>
        <v>0.36666482509060699</v>
      </c>
      <c r="AF192" s="1504">
        <f t="shared" si="151"/>
        <v>0.31552213628289039</v>
      </c>
      <c r="AG192" s="1504">
        <f t="shared" si="152"/>
        <v>5.0705926080040618E-2</v>
      </c>
      <c r="AH192" s="1504">
        <f t="shared" si="165"/>
        <v>0</v>
      </c>
      <c r="AI192" s="1504">
        <f t="shared" si="153"/>
        <v>0.26710711254646213</v>
      </c>
      <c r="AJ192" s="1504">
        <f t="shared" si="154"/>
        <v>1.0000000000000002</v>
      </c>
      <c r="AK192" s="1555">
        <f t="shared" si="155"/>
        <v>26022.22605453428</v>
      </c>
      <c r="AL192" s="1556">
        <f t="shared" si="156"/>
        <v>0</v>
      </c>
      <c r="AM192" s="1556">
        <f t="shared" si="157"/>
        <v>0</v>
      </c>
      <c r="AN192" s="1556">
        <f t="shared" si="158"/>
        <v>26022.22605453428</v>
      </c>
      <c r="AO192" s="1543">
        <f t="shared" si="159"/>
        <v>0</v>
      </c>
    </row>
    <row r="193" spans="1:41">
      <c r="A193" s="100">
        <f>'Input data'!A133</f>
        <v>2033</v>
      </c>
      <c r="B193" s="1506">
        <f>'Input data'!B133</f>
        <v>67.659204065895452</v>
      </c>
      <c r="C193" s="1507">
        <f>'Input data'!C133</f>
        <v>5403.9196893114931</v>
      </c>
      <c r="D193" s="1507">
        <f>'Input data'!E133</f>
        <v>42244930.407056943</v>
      </c>
      <c r="E193" s="1508">
        <f>'Input data'!J133*C193</f>
        <v>65014.804345740915</v>
      </c>
      <c r="F193" s="1509">
        <f>'Input data'!L133</f>
        <v>107259.73475279786</v>
      </c>
      <c r="G193" s="1510">
        <f>G192</f>
        <v>13687.941669523079</v>
      </c>
      <c r="H193" s="1509">
        <f t="shared" si="160"/>
        <v>63262.866425924571</v>
      </c>
      <c r="I193" s="1511">
        <f t="shared" si="135"/>
        <v>42244.930407056941</v>
      </c>
      <c r="J193" s="1504">
        <f t="shared" si="170"/>
        <v>0.4</v>
      </c>
      <c r="K193" s="1512">
        <f t="shared" si="162"/>
        <v>14297.892229158251</v>
      </c>
      <c r="L193" s="1512">
        <f t="shared" si="136"/>
        <v>0</v>
      </c>
      <c r="M193" s="1511">
        <f t="shared" si="163"/>
        <v>14297.892229158251</v>
      </c>
      <c r="N193" s="1454">
        <f t="shared" si="169"/>
        <v>0.5</v>
      </c>
      <c r="O193" s="1511">
        <f t="shared" si="137"/>
        <v>751.91700000000026</v>
      </c>
      <c r="P193" s="1481">
        <f t="shared" si="166"/>
        <v>15049.809229158251</v>
      </c>
      <c r="Q193" s="1364">
        <f t="shared" si="138"/>
        <v>61900.998866289396</v>
      </c>
      <c r="R193" s="1364">
        <f t="shared" si="164"/>
        <v>48213.057196766313</v>
      </c>
      <c r="S193" s="1514">
        <f t="shared" si="139"/>
        <v>1.318952881167301</v>
      </c>
      <c r="T193" s="135" t="str">
        <f t="shared" si="140"/>
        <v>No</v>
      </c>
      <c r="U193" s="1526">
        <f t="shared" si="141"/>
        <v>1</v>
      </c>
      <c r="V193" s="1494">
        <f t="shared" si="142"/>
        <v>70705.694130742631</v>
      </c>
      <c r="W193" s="1491">
        <f t="shared" si="134"/>
        <v>0.34079928228707201</v>
      </c>
      <c r="X193" s="527">
        <f t="shared" si="143"/>
        <v>25346.958244234163</v>
      </c>
      <c r="Y193" s="1509">
        <f t="shared" si="144"/>
        <v>22104.236845708667</v>
      </c>
      <c r="Z193" s="1531">
        <f t="shared" si="145"/>
        <v>3689.9033028722483</v>
      </c>
      <c r="AA193" s="1531">
        <f t="shared" si="146"/>
        <v>0</v>
      </c>
      <c r="AB193" s="1531">
        <f t="shared" si="147"/>
        <v>19564.595737927553</v>
      </c>
      <c r="AC193" s="1531">
        <f t="shared" si="148"/>
        <v>70705.694130742631</v>
      </c>
      <c r="AD193" s="1005">
        <f t="shared" si="149"/>
        <v>11659.016574711084</v>
      </c>
      <c r="AE193" s="1454">
        <f t="shared" si="150"/>
        <v>0.35848538870666963</v>
      </c>
      <c r="AF193" s="1504">
        <f t="shared" si="151"/>
        <v>0.31262315033405219</v>
      </c>
      <c r="AG193" s="1504">
        <f t="shared" si="152"/>
        <v>5.2186791293629194E-2</v>
      </c>
      <c r="AH193" s="1504">
        <f t="shared" si="165"/>
        <v>0</v>
      </c>
      <c r="AI193" s="1504">
        <f t="shared" si="153"/>
        <v>0.27670466966564894</v>
      </c>
      <c r="AJ193" s="1504">
        <f t="shared" si="154"/>
        <v>1</v>
      </c>
      <c r="AK193" s="1555">
        <f t="shared" si="155"/>
        <v>25346.958244234163</v>
      </c>
      <c r="AL193" s="1556">
        <f t="shared" si="156"/>
        <v>0</v>
      </c>
      <c r="AM193" s="1556">
        <f t="shared" si="157"/>
        <v>0</v>
      </c>
      <c r="AN193" s="1556">
        <f t="shared" si="158"/>
        <v>25346.958244234163</v>
      </c>
      <c r="AO193" s="1543">
        <f t="shared" si="159"/>
        <v>0</v>
      </c>
    </row>
    <row r="194" spans="1:41">
      <c r="A194" s="100">
        <f>'Input data'!A134</f>
        <v>2034</v>
      </c>
      <c r="B194" s="1506">
        <f>'Input data'!B134</f>
        <v>68.236626094715163</v>
      </c>
      <c r="C194" s="1507">
        <f>'Input data'!C134</f>
        <v>5610.4237500420486</v>
      </c>
      <c r="D194" s="1507">
        <f>'Input data'!E134</f>
        <v>40465875.003352016</v>
      </c>
      <c r="E194" s="1508">
        <f>'Input data'!J134*C194</f>
        <v>67499.264122512439</v>
      </c>
      <c r="F194" s="1509">
        <f>'Input data'!L134</f>
        <v>107965.13912586446</v>
      </c>
      <c r="G194" s="1510">
        <f t="shared" ref="G194:G210" si="171">G193</f>
        <v>13687.941669523079</v>
      </c>
      <c r="H194" s="1509">
        <f t="shared" si="160"/>
        <v>63018.908567771054</v>
      </c>
      <c r="I194" s="1511">
        <f t="shared" si="135"/>
        <v>40465.875003352019</v>
      </c>
      <c r="J194" s="1504">
        <f t="shared" si="170"/>
        <v>0.4</v>
      </c>
      <c r="K194" s="1512">
        <f t="shared" si="162"/>
        <v>13695.766904609831</v>
      </c>
      <c r="L194" s="1512">
        <f t="shared" si="136"/>
        <v>0</v>
      </c>
      <c r="M194" s="1511">
        <f t="shared" si="163"/>
        <v>13695.766904609831</v>
      </c>
      <c r="N194" s="1454">
        <f t="shared" si="169"/>
        <v>0.5</v>
      </c>
      <c r="O194" s="1511">
        <f t="shared" si="137"/>
        <v>751.91700000000026</v>
      </c>
      <c r="P194" s="1481">
        <f t="shared" si="166"/>
        <v>14447.68390460983</v>
      </c>
      <c r="Q194" s="1364">
        <f t="shared" si="138"/>
        <v>62259.166332684297</v>
      </c>
      <c r="R194" s="1364">
        <f t="shared" si="164"/>
        <v>48571.224663161222</v>
      </c>
      <c r="S194" s="1514">
        <f t="shared" si="139"/>
        <v>1.2788752858477939</v>
      </c>
      <c r="T194" s="135" t="str">
        <f t="shared" si="140"/>
        <v>No</v>
      </c>
      <c r="U194" s="1526">
        <f t="shared" si="141"/>
        <v>1</v>
      </c>
      <c r="V194" s="1494">
        <f t="shared" si="142"/>
        <v>69985.497795191375</v>
      </c>
      <c r="W194" s="1491">
        <f t="shared" si="134"/>
        <v>0.35177689426581371</v>
      </c>
      <c r="X194" s="527">
        <f t="shared" si="143"/>
        <v>24279.525002011211</v>
      </c>
      <c r="Y194" s="1509">
        <f t="shared" si="144"/>
        <v>21591.56560505191</v>
      </c>
      <c r="Z194" s="1531">
        <f t="shared" si="145"/>
        <v>3802.1747903841533</v>
      </c>
      <c r="AA194" s="1531">
        <f t="shared" si="146"/>
        <v>0</v>
      </c>
      <c r="AB194" s="1531">
        <f t="shared" si="147"/>
        <v>20312.232397744108</v>
      </c>
      <c r="AC194" s="1531">
        <f t="shared" si="148"/>
        <v>69985.497795191375</v>
      </c>
      <c r="AD194" s="1005">
        <f t="shared" si="149"/>
        <v>10591.583332488131</v>
      </c>
      <c r="AE194" s="1454">
        <f t="shared" si="150"/>
        <v>0.34692223056073523</v>
      </c>
      <c r="AF194" s="1504">
        <f t="shared" si="151"/>
        <v>0.3085148535806434</v>
      </c>
      <c r="AG194" s="1504">
        <f t="shared" si="152"/>
        <v>5.4328038095992459E-2</v>
      </c>
      <c r="AH194" s="1504">
        <f t="shared" si="165"/>
        <v>0</v>
      </c>
      <c r="AI194" s="1504">
        <f t="shared" si="153"/>
        <v>0.29023487776262896</v>
      </c>
      <c r="AJ194" s="1504">
        <f t="shared" si="154"/>
        <v>1</v>
      </c>
      <c r="AK194" s="1555">
        <f t="shared" si="155"/>
        <v>24279.525002011207</v>
      </c>
      <c r="AL194" s="1556">
        <f t="shared" si="156"/>
        <v>0</v>
      </c>
      <c r="AM194" s="1556">
        <f t="shared" si="157"/>
        <v>0</v>
      </c>
      <c r="AN194" s="1556">
        <f t="shared" si="158"/>
        <v>24279.525002011207</v>
      </c>
      <c r="AO194" s="1543">
        <f t="shared" si="159"/>
        <v>0</v>
      </c>
    </row>
    <row r="195" spans="1:41">
      <c r="A195" s="100">
        <f>'Input data'!A135</f>
        <v>2035</v>
      </c>
      <c r="B195" s="1506">
        <f>'Input data'!B135</f>
        <v>68.818976000000006</v>
      </c>
      <c r="C195" s="1507">
        <f>'Input data'!C135</f>
        <v>5785.6697548645852</v>
      </c>
      <c r="D195" s="1507">
        <f>'Input data'!E135</f>
        <v>33374025.316822052</v>
      </c>
      <c r="E195" s="1508">
        <f>'Input data'!J135*C195</f>
        <v>69607.656802449113</v>
      </c>
      <c r="F195" s="1509">
        <f>'Input data'!L135</f>
        <v>102981.68211927116</v>
      </c>
      <c r="G195" s="1510">
        <f t="shared" si="171"/>
        <v>13687.941669523079</v>
      </c>
      <c r="H195" s="1509">
        <f t="shared" si="160"/>
        <v>57573.356922858104</v>
      </c>
      <c r="I195" s="1511">
        <f t="shared" si="135"/>
        <v>33374.025316822052</v>
      </c>
      <c r="J195" s="1504">
        <f t="shared" si="170"/>
        <v>0.4</v>
      </c>
      <c r="K195" s="1512">
        <f t="shared" si="162"/>
        <v>11295.5143406606</v>
      </c>
      <c r="L195" s="1512">
        <f t="shared" si="136"/>
        <v>0</v>
      </c>
      <c r="M195" s="1511">
        <f t="shared" si="163"/>
        <v>11295.5143406606</v>
      </c>
      <c r="N195" s="1454">
        <f t="shared" si="169"/>
        <v>0.5</v>
      </c>
      <c r="O195" s="1511">
        <f t="shared" si="137"/>
        <v>751.91700000000026</v>
      </c>
      <c r="P195" s="1481">
        <f t="shared" si="166"/>
        <v>12047.4313406606</v>
      </c>
      <c r="Q195" s="1364">
        <f t="shared" si="138"/>
        <v>59213.867251720578</v>
      </c>
      <c r="R195" s="1364">
        <f t="shared" si="164"/>
        <v>45525.925582197495</v>
      </c>
      <c r="S195" s="1514">
        <f t="shared" si="139"/>
        <v>1.1616882397489439</v>
      </c>
      <c r="T195" s="135" t="str">
        <f t="shared" si="140"/>
        <v>No</v>
      </c>
      <c r="U195" s="1526">
        <f t="shared" si="141"/>
        <v>1</v>
      </c>
      <c r="V195" s="1494">
        <f t="shared" si="142"/>
        <v>63792.230057643828</v>
      </c>
      <c r="W195" s="1491">
        <f t="shared" si="134"/>
        <v>0.38054779505581349</v>
      </c>
      <c r="X195" s="527">
        <f t="shared" si="143"/>
        <v>20024.41519009323</v>
      </c>
      <c r="Y195" s="1509">
        <f t="shared" si="144"/>
        <v>18923.661897181821</v>
      </c>
      <c r="Z195" s="1531">
        <f t="shared" si="145"/>
        <v>3897.4519949695709</v>
      </c>
      <c r="AA195" s="1531">
        <f t="shared" si="146"/>
        <v>0</v>
      </c>
      <c r="AB195" s="1531">
        <f t="shared" si="147"/>
        <v>20946.70097539921</v>
      </c>
      <c r="AC195" s="1531">
        <f t="shared" si="148"/>
        <v>63792.230057643828</v>
      </c>
      <c r="AD195" s="1005">
        <f t="shared" si="149"/>
        <v>6336.4735205701509</v>
      </c>
      <c r="AE195" s="1454">
        <f t="shared" si="150"/>
        <v>0.31390053572353249</v>
      </c>
      <c r="AF195" s="1504">
        <f t="shared" si="151"/>
        <v>0.29664524786297725</v>
      </c>
      <c r="AG195" s="1504">
        <f t="shared" si="152"/>
        <v>6.1096029899687813E-2</v>
      </c>
      <c r="AH195" s="1504">
        <f t="shared" si="165"/>
        <v>0</v>
      </c>
      <c r="AI195" s="1504">
        <f t="shared" si="153"/>
        <v>0.3283581865138025</v>
      </c>
      <c r="AJ195" s="1504">
        <f t="shared" si="154"/>
        <v>1</v>
      </c>
      <c r="AK195" s="1555">
        <f t="shared" si="155"/>
        <v>20024.41519009323</v>
      </c>
      <c r="AL195" s="1556">
        <f t="shared" si="156"/>
        <v>0</v>
      </c>
      <c r="AM195" s="1556">
        <f t="shared" si="157"/>
        <v>0</v>
      </c>
      <c r="AN195" s="1556">
        <f t="shared" si="158"/>
        <v>20024.41519009323</v>
      </c>
      <c r="AO195" s="1543">
        <f t="shared" si="159"/>
        <v>0</v>
      </c>
    </row>
    <row r="196" spans="1:41">
      <c r="A196" s="100">
        <f>'Input data'!A136</f>
        <v>2036</v>
      </c>
      <c r="B196" s="1506">
        <f>'Input data'!B136</f>
        <v>69.322810489383542</v>
      </c>
      <c r="C196" s="1507">
        <f>'Input data'!C136</f>
        <v>5959.8602057408698</v>
      </c>
      <c r="D196" s="1507">
        <f>'Input data'!E136</f>
        <v>24482482.614495005</v>
      </c>
      <c r="E196" s="1508">
        <f>'Input data'!J136*C196</f>
        <v>71703.35006469686</v>
      </c>
      <c r="F196" s="1509">
        <f>'Input data'!L136</f>
        <v>96185.832679191866</v>
      </c>
      <c r="G196" s="1510">
        <f t="shared" si="171"/>
        <v>13687.941669523079</v>
      </c>
      <c r="H196" s="1509">
        <f t="shared" si="160"/>
        <v>50431.592281149438</v>
      </c>
      <c r="I196" s="1511">
        <f t="shared" si="135"/>
        <v>24482.482614495006</v>
      </c>
      <c r="J196" s="1504">
        <f t="shared" si="170"/>
        <v>0.4</v>
      </c>
      <c r="K196" s="1512">
        <f t="shared" si="162"/>
        <v>8286.1516056803648</v>
      </c>
      <c r="L196" s="1512">
        <f t="shared" si="136"/>
        <v>0</v>
      </c>
      <c r="M196" s="1511">
        <f t="shared" si="163"/>
        <v>8286.1516056803648</v>
      </c>
      <c r="N196" s="1454">
        <f t="shared" si="169"/>
        <v>0.5</v>
      </c>
      <c r="O196" s="1511">
        <f t="shared" si="137"/>
        <v>751.91700000000026</v>
      </c>
      <c r="P196" s="1481">
        <f t="shared" si="166"/>
        <v>9038.0686056803643</v>
      </c>
      <c r="Q196" s="1364">
        <f t="shared" si="138"/>
        <v>55081.465344992146</v>
      </c>
      <c r="R196" s="1364">
        <f t="shared" si="164"/>
        <v>41393.52367546907</v>
      </c>
      <c r="S196" s="1514">
        <f t="shared" si="139"/>
        <v>1.0247957144934146</v>
      </c>
      <c r="T196" s="135" t="str">
        <f t="shared" si="140"/>
        <v>No</v>
      </c>
      <c r="U196" s="1526">
        <f t="shared" si="141"/>
        <v>1</v>
      </c>
      <c r="V196" s="1494">
        <f t="shared" si="142"/>
        <v>55793.856902896725</v>
      </c>
      <c r="W196" s="1491">
        <f t="shared" si="134"/>
        <v>0.41993685193758523</v>
      </c>
      <c r="X196" s="527">
        <f t="shared" si="143"/>
        <v>14689.489568697003</v>
      </c>
      <c r="Y196" s="1509">
        <f t="shared" si="144"/>
        <v>15534.864037229972</v>
      </c>
      <c r="Z196" s="1531">
        <f t="shared" si="145"/>
        <v>3992.1553192580318</v>
      </c>
      <c r="AA196" s="1531">
        <f t="shared" si="146"/>
        <v>0</v>
      </c>
      <c r="AB196" s="1531">
        <f t="shared" si="147"/>
        <v>21577.347977711717</v>
      </c>
      <c r="AC196" s="1531">
        <f t="shared" si="148"/>
        <v>55793.856902896725</v>
      </c>
      <c r="AD196" s="1005">
        <f t="shared" si="149"/>
        <v>1001.5478991739237</v>
      </c>
      <c r="AE196" s="1454">
        <f t="shared" si="150"/>
        <v>0.26328148624430997</v>
      </c>
      <c r="AF196" s="1504">
        <f t="shared" si="151"/>
        <v>0.27843323440189394</v>
      </c>
      <c r="AG196" s="1504">
        <f t="shared" si="152"/>
        <v>7.1551879379945962E-2</v>
      </c>
      <c r="AH196" s="1504">
        <f t="shared" si="165"/>
        <v>0</v>
      </c>
      <c r="AI196" s="1504">
        <f t="shared" si="153"/>
        <v>0.38673339997385009</v>
      </c>
      <c r="AJ196" s="1504">
        <f t="shared" si="154"/>
        <v>1</v>
      </c>
      <c r="AK196" s="1555">
        <f t="shared" si="155"/>
        <v>14689.489568697003</v>
      </c>
      <c r="AL196" s="1556">
        <f t="shared" si="156"/>
        <v>0</v>
      </c>
      <c r="AM196" s="1556">
        <f t="shared" si="157"/>
        <v>0</v>
      </c>
      <c r="AN196" s="1556">
        <f t="shared" si="158"/>
        <v>14689.489568697003</v>
      </c>
      <c r="AO196" s="1543">
        <f t="shared" si="159"/>
        <v>0</v>
      </c>
    </row>
    <row r="197" spans="1:41">
      <c r="A197" s="100">
        <f>'Input data'!A137</f>
        <v>2037</v>
      </c>
      <c r="B197" s="1506">
        <f>'Input data'!B137</f>
        <v>69.830333629884052</v>
      </c>
      <c r="C197" s="1507">
        <f>'Input data'!C137</f>
        <v>6149.2553125491713</v>
      </c>
      <c r="D197" s="1507">
        <f>'Input data'!E137</f>
        <v>21483552.95875904</v>
      </c>
      <c r="E197" s="1508">
        <f>'Input data'!J137*C197</f>
        <v>73981.971236202691</v>
      </c>
      <c r="F197" s="1509">
        <f>'Input data'!L137</f>
        <v>95465.524194961734</v>
      </c>
      <c r="G197" s="1510">
        <f t="shared" si="171"/>
        <v>13687.941669523079</v>
      </c>
      <c r="H197" s="1509">
        <f t="shared" si="160"/>
        <v>48924.729015329154</v>
      </c>
      <c r="I197" s="1511">
        <f t="shared" si="135"/>
        <v>21483.552958759039</v>
      </c>
      <c r="J197" s="1504">
        <f t="shared" si="170"/>
        <v>0.4</v>
      </c>
      <c r="K197" s="1512">
        <f t="shared" si="162"/>
        <v>7271.1570819025073</v>
      </c>
      <c r="L197" s="1512">
        <f t="shared" si="136"/>
        <v>0</v>
      </c>
      <c r="M197" s="1511">
        <f t="shared" si="163"/>
        <v>7271.1570819025073</v>
      </c>
      <c r="N197" s="1454">
        <f t="shared" si="169"/>
        <v>0.5</v>
      </c>
      <c r="O197" s="1511">
        <f t="shared" si="137"/>
        <v>751.91700000000026</v>
      </c>
      <c r="P197" s="1481">
        <f t="shared" si="166"/>
        <v>8023.0740819025077</v>
      </c>
      <c r="Q197" s="1364">
        <f t="shared" si="138"/>
        <v>54589.596602949721</v>
      </c>
      <c r="R197" s="1364">
        <f t="shared" si="164"/>
        <v>40901.654933426646</v>
      </c>
      <c r="S197" s="1514">
        <f t="shared" si="139"/>
        <v>0.98086762270057259</v>
      </c>
      <c r="T197" s="135" t="str">
        <f t="shared" si="140"/>
        <v>Yes</v>
      </c>
      <c r="U197" s="1526">
        <f t="shared" si="141"/>
        <v>0.98086762270057259</v>
      </c>
      <c r="V197" s="1494">
        <f t="shared" si="142"/>
        <v>54563.869261535088</v>
      </c>
      <c r="W197" s="1491">
        <f t="shared" si="134"/>
        <v>0.42844425019755206</v>
      </c>
      <c r="X197" s="527">
        <f t="shared" si="143"/>
        <v>13687.941669523072</v>
      </c>
      <c r="Y197" s="1509">
        <f t="shared" si="144"/>
        <v>14517.759922862664</v>
      </c>
      <c r="Z197" s="1531">
        <f t="shared" si="145"/>
        <v>4095.1250637445028</v>
      </c>
      <c r="AA197" s="1531">
        <f t="shared" si="146"/>
        <v>0</v>
      </c>
      <c r="AB197" s="1531">
        <f t="shared" si="147"/>
        <v>22263.042605404848</v>
      </c>
      <c r="AC197" s="1531">
        <f t="shared" si="148"/>
        <v>54563.869261535088</v>
      </c>
      <c r="AD197" s="1005">
        <f t="shared" si="149"/>
        <v>0</v>
      </c>
      <c r="AE197" s="1454">
        <f t="shared" si="150"/>
        <v>0.25086090584804649</v>
      </c>
      <c r="AF197" s="1504">
        <f t="shared" si="151"/>
        <v>0.26606910615660806</v>
      </c>
      <c r="AG197" s="1504">
        <f t="shared" si="152"/>
        <v>7.5051955060514181E-2</v>
      </c>
      <c r="AH197" s="1504">
        <f t="shared" si="165"/>
        <v>0</v>
      </c>
      <c r="AI197" s="1504">
        <f t="shared" si="153"/>
        <v>0.40801803293483119</v>
      </c>
      <c r="AJ197" s="1504">
        <f t="shared" si="154"/>
        <v>0.99999999999999989</v>
      </c>
      <c r="AK197" s="1555">
        <f t="shared" si="155"/>
        <v>12890.131775255421</v>
      </c>
      <c r="AL197" s="1556">
        <f t="shared" si="156"/>
        <v>755.44357662790765</v>
      </c>
      <c r="AM197" s="1556">
        <f t="shared" si="157"/>
        <v>42.366317639742377</v>
      </c>
      <c r="AN197" s="1556">
        <f t="shared" si="158"/>
        <v>13687.94166952307</v>
      </c>
      <c r="AO197" s="1543">
        <f t="shared" si="159"/>
        <v>0</v>
      </c>
    </row>
    <row r="198" spans="1:41">
      <c r="A198" s="100">
        <f>'Input data'!A138</f>
        <v>2038</v>
      </c>
      <c r="B198" s="1506">
        <f>'Input data'!B138</f>
        <v>70.341572426693446</v>
      </c>
      <c r="C198" s="1507">
        <f>'Input data'!C138</f>
        <v>6333.0462394281813</v>
      </c>
      <c r="D198" s="1507">
        <f>'Input data'!E138</f>
        <v>18854877.897592288</v>
      </c>
      <c r="E198" s="1508">
        <f>'Input data'!J138*C198</f>
        <v>76193.168263278349</v>
      </c>
      <c r="F198" s="1509">
        <f>'Input data'!L138</f>
        <v>95048.046160870639</v>
      </c>
      <c r="G198" s="1510">
        <f t="shared" si="171"/>
        <v>13687.941669523079</v>
      </c>
      <c r="H198" s="1509">
        <f t="shared" si="160"/>
        <v>47726.643556961499</v>
      </c>
      <c r="I198" s="1511">
        <f t="shared" si="135"/>
        <v>18854.877897592287</v>
      </c>
      <c r="J198" s="1504">
        <f t="shared" si="170"/>
        <v>0.4</v>
      </c>
      <c r="K198" s="1512">
        <f t="shared" si="162"/>
        <v>6381.4760629521288</v>
      </c>
      <c r="L198" s="1512">
        <f t="shared" si="136"/>
        <v>0</v>
      </c>
      <c r="M198" s="1511">
        <f t="shared" si="163"/>
        <v>6381.4760629521288</v>
      </c>
      <c r="N198" s="1454">
        <f t="shared" si="169"/>
        <v>0.5</v>
      </c>
      <c r="O198" s="1511">
        <f t="shared" si="137"/>
        <v>751.91700000000026</v>
      </c>
      <c r="P198" s="1481">
        <f t="shared" si="166"/>
        <v>7133.3930629521292</v>
      </c>
      <c r="Q198" s="1364">
        <f t="shared" si="138"/>
        <v>54281.192163532454</v>
      </c>
      <c r="R198" s="1364">
        <f t="shared" si="164"/>
        <v>40593.250494009379</v>
      </c>
      <c r="S198" s="1514">
        <f t="shared" si="139"/>
        <v>0.94472630190030593</v>
      </c>
      <c r="T198" s="135" t="str">
        <f t="shared" si="140"/>
        <v>Yes</v>
      </c>
      <c r="U198" s="1526">
        <f t="shared" si="141"/>
        <v>0.94472630190030593</v>
      </c>
      <c r="V198" s="1494">
        <f t="shared" si="142"/>
        <v>54454.795666861275</v>
      </c>
      <c r="W198" s="1491">
        <f t="shared" si="134"/>
        <v>0.42708137761511178</v>
      </c>
      <c r="X198" s="527">
        <f t="shared" si="143"/>
        <v>13687.941669523078</v>
      </c>
      <c r="Y198" s="1509">
        <f t="shared" si="144"/>
        <v>13643.358446164657</v>
      </c>
      <c r="Z198" s="1531">
        <f t="shared" si="145"/>
        <v>4195.0479450616976</v>
      </c>
      <c r="AA198" s="1531">
        <f t="shared" si="146"/>
        <v>0</v>
      </c>
      <c r="AB198" s="1531">
        <f t="shared" si="147"/>
        <v>22928.447606111837</v>
      </c>
      <c r="AC198" s="1531">
        <f t="shared" si="148"/>
        <v>54454.795666861275</v>
      </c>
      <c r="AD198" s="1005">
        <f t="shared" si="149"/>
        <v>0</v>
      </c>
      <c r="AE198" s="1454">
        <f t="shared" si="150"/>
        <v>0.25136338318597234</v>
      </c>
      <c r="AF198" s="1504">
        <f t="shared" si="151"/>
        <v>0.25054466331360026</v>
      </c>
      <c r="AG198" s="1504">
        <f t="shared" si="152"/>
        <v>7.7037254362789104E-2</v>
      </c>
      <c r="AH198" s="1504">
        <f t="shared" si="165"/>
        <v>0</v>
      </c>
      <c r="AI198" s="1504">
        <f t="shared" si="153"/>
        <v>0.42105469913763816</v>
      </c>
      <c r="AJ198" s="1504">
        <f t="shared" si="154"/>
        <v>0.99999999999999989</v>
      </c>
      <c r="AK198" s="1555">
        <f t="shared" si="155"/>
        <v>11312.926738555372</v>
      </c>
      <c r="AL198" s="1556">
        <f t="shared" si="156"/>
        <v>2247.7176307674858</v>
      </c>
      <c r="AM198" s="1556">
        <f t="shared" si="157"/>
        <v>127.29730020021991</v>
      </c>
      <c r="AN198" s="1556">
        <f t="shared" si="158"/>
        <v>13687.941669523078</v>
      </c>
      <c r="AO198" s="1543">
        <f t="shared" si="159"/>
        <v>0</v>
      </c>
    </row>
    <row r="199" spans="1:41">
      <c r="A199" s="100">
        <f>'Input data'!A139</f>
        <v>2039</v>
      </c>
      <c r="B199" s="1506">
        <f>'Input data'!B139</f>
        <v>70.856554082712819</v>
      </c>
      <c r="C199" s="1507">
        <f>'Input data'!C139</f>
        <v>6520.8289920741563</v>
      </c>
      <c r="D199" s="1507">
        <f>'Input data'!E139</f>
        <v>16226202.836425532</v>
      </c>
      <c r="E199" s="1508">
        <f>'Input data'!J139*C199</f>
        <v>78452.391128290663</v>
      </c>
      <c r="F199" s="1509">
        <f>'Input data'!L139</f>
        <v>94678.593964716187</v>
      </c>
      <c r="G199" s="1510">
        <f t="shared" si="171"/>
        <v>13687.941669523079</v>
      </c>
      <c r="H199" s="1509">
        <f t="shared" si="160"/>
        <v>46556.115666333368</v>
      </c>
      <c r="I199" s="1511">
        <f t="shared" si="135"/>
        <v>16226.202836425531</v>
      </c>
      <c r="J199" s="1504">
        <f t="shared" si="170"/>
        <v>0.4</v>
      </c>
      <c r="K199" s="1512">
        <f t="shared" si="162"/>
        <v>5491.7950440017503</v>
      </c>
      <c r="L199" s="1512">
        <f t="shared" si="136"/>
        <v>0</v>
      </c>
      <c r="M199" s="1511">
        <f t="shared" si="163"/>
        <v>5491.7950440017503</v>
      </c>
      <c r="N199" s="1454">
        <f t="shared" si="169"/>
        <v>0.5</v>
      </c>
      <c r="O199" s="1511">
        <f t="shared" si="137"/>
        <v>751.91700000000026</v>
      </c>
      <c r="P199" s="1481">
        <f t="shared" si="166"/>
        <v>6243.7120440017507</v>
      </c>
      <c r="Q199" s="1364">
        <f t="shared" si="138"/>
        <v>54000.34529185469</v>
      </c>
      <c r="R199" s="1364">
        <f t="shared" si="164"/>
        <v>40312.403622331607</v>
      </c>
      <c r="S199" s="1514">
        <f t="shared" si="139"/>
        <v>0.9107138015161913</v>
      </c>
      <c r="T199" s="135" t="str">
        <f t="shared" si="140"/>
        <v>Yes</v>
      </c>
      <c r="U199" s="1526">
        <f t="shared" si="141"/>
        <v>0.9107138015161913</v>
      </c>
      <c r="V199" s="1494">
        <f t="shared" si="142"/>
        <v>54366.190342384602</v>
      </c>
      <c r="W199" s="1491">
        <f t="shared" si="134"/>
        <v>0.42578160420669942</v>
      </c>
      <c r="X199" s="527">
        <f t="shared" si="143"/>
        <v>13687.941669523083</v>
      </c>
      <c r="Y199" s="1509">
        <f t="shared" si="144"/>
        <v>12772.802789298486</v>
      </c>
      <c r="Z199" s="1531">
        <f t="shared" si="145"/>
        <v>4297.1410898359891</v>
      </c>
      <c r="AA199" s="1531">
        <f t="shared" si="146"/>
        <v>0</v>
      </c>
      <c r="AB199" s="1531">
        <f t="shared" si="147"/>
        <v>23608.304793727042</v>
      </c>
      <c r="AC199" s="1531">
        <f t="shared" si="148"/>
        <v>54366.190342384602</v>
      </c>
      <c r="AD199" s="1005">
        <f t="shared" si="149"/>
        <v>0</v>
      </c>
      <c r="AE199" s="1454">
        <f t="shared" si="150"/>
        <v>0.25177305202589823</v>
      </c>
      <c r="AF199" s="1504">
        <f t="shared" si="151"/>
        <v>0.23494018449441803</v>
      </c>
      <c r="AG199" s="1504">
        <f t="shared" si="152"/>
        <v>7.9040688022715494E-2</v>
      </c>
      <c r="AH199" s="1504">
        <f t="shared" si="165"/>
        <v>0</v>
      </c>
      <c r="AI199" s="1504">
        <f t="shared" si="153"/>
        <v>0.43424607545696825</v>
      </c>
      <c r="AJ199" s="1504">
        <f t="shared" si="154"/>
        <v>1</v>
      </c>
      <c r="AK199" s="1555">
        <f t="shared" si="155"/>
        <v>9735.7217018553183</v>
      </c>
      <c r="AL199" s="1556">
        <f t="shared" si="156"/>
        <v>3738.5028374789199</v>
      </c>
      <c r="AM199" s="1556">
        <f t="shared" si="157"/>
        <v>213.7171301888435</v>
      </c>
      <c r="AN199" s="1556">
        <f t="shared" si="158"/>
        <v>13687.941669523081</v>
      </c>
      <c r="AO199" s="1543">
        <f t="shared" si="159"/>
        <v>0</v>
      </c>
    </row>
    <row r="200" spans="1:41">
      <c r="A200" s="100">
        <f>'Input data'!A140</f>
        <v>2040</v>
      </c>
      <c r="B200" s="1506">
        <f>'Input data'!B140</f>
        <v>71.375305999999995</v>
      </c>
      <c r="C200" s="1507">
        <f>'Input data'!C140</f>
        <v>6710.9821193375428</v>
      </c>
      <c r="D200" s="1507">
        <f>'Input data'!E140</f>
        <v>13597527.775258772</v>
      </c>
      <c r="E200" s="1508">
        <f>'Input data'!J140*C200</f>
        <v>80740.132078477691</v>
      </c>
      <c r="F200" s="1509">
        <f>'Input data'!L140</f>
        <v>94337.659853736463</v>
      </c>
      <c r="G200" s="1510">
        <f t="shared" si="171"/>
        <v>13687.941669523079</v>
      </c>
      <c r="H200" s="1509">
        <f t="shared" si="160"/>
        <v>45401.951656019795</v>
      </c>
      <c r="I200" s="1511">
        <f t="shared" si="135"/>
        <v>13597.527775258772</v>
      </c>
      <c r="J200" s="1504">
        <f t="shared" si="170"/>
        <v>0.4</v>
      </c>
      <c r="K200" s="1512">
        <f t="shared" si="162"/>
        <v>4602.1140250513708</v>
      </c>
      <c r="L200" s="1512">
        <f t="shared" si="136"/>
        <v>0</v>
      </c>
      <c r="M200" s="1511">
        <f t="shared" si="163"/>
        <v>4602.1140250513708</v>
      </c>
      <c r="N200" s="1454">
        <f t="shared" si="169"/>
        <v>0.5</v>
      </c>
      <c r="O200" s="1511">
        <f t="shared" si="137"/>
        <v>751.91700000000026</v>
      </c>
      <c r="P200" s="1481">
        <f t="shared" si="166"/>
        <v>5354.0310250513712</v>
      </c>
      <c r="Q200" s="1364">
        <f t="shared" si="138"/>
        <v>53735.862300491506</v>
      </c>
      <c r="R200" s="1364">
        <f t="shared" si="164"/>
        <v>40047.920630968423</v>
      </c>
      <c r="S200" s="1514">
        <f t="shared" si="139"/>
        <v>0.87868040739781827</v>
      </c>
      <c r="T200" s="135" t="str">
        <f t="shared" si="140"/>
        <v>Yes</v>
      </c>
      <c r="U200" s="1526">
        <f t="shared" si="141"/>
        <v>0.87868040739781827</v>
      </c>
      <c r="V200" s="1494">
        <f t="shared" si="142"/>
        <v>54289.739222768047</v>
      </c>
      <c r="W200" s="1491">
        <f t="shared" si="134"/>
        <v>0.42451679099375317</v>
      </c>
      <c r="X200" s="527">
        <f t="shared" si="143"/>
        <v>13687.941669523081</v>
      </c>
      <c r="Y200" s="1509">
        <f t="shared" si="144"/>
        <v>11904.530807683859</v>
      </c>
      <c r="Z200" s="1531">
        <f t="shared" si="145"/>
        <v>4400.5229525333853</v>
      </c>
      <c r="AA200" s="1531">
        <f t="shared" si="146"/>
        <v>0</v>
      </c>
      <c r="AB200" s="1531">
        <f t="shared" si="147"/>
        <v>24296.743793027723</v>
      </c>
      <c r="AC200" s="1531">
        <f t="shared" si="148"/>
        <v>54289.739222768047</v>
      </c>
      <c r="AD200" s="1005">
        <f t="shared" si="149"/>
        <v>0</v>
      </c>
      <c r="AE200" s="1454">
        <f t="shared" si="150"/>
        <v>0.25212760027004566</v>
      </c>
      <c r="AF200" s="1504">
        <f t="shared" si="151"/>
        <v>0.21927773052723254</v>
      </c>
      <c r="AG200" s="1504">
        <f t="shared" si="152"/>
        <v>8.1056255114371464E-2</v>
      </c>
      <c r="AH200" s="1504">
        <f t="shared" si="165"/>
        <v>0</v>
      </c>
      <c r="AI200" s="1504">
        <f t="shared" si="153"/>
        <v>0.44753841408835038</v>
      </c>
      <c r="AJ200" s="1504">
        <f t="shared" si="154"/>
        <v>1</v>
      </c>
      <c r="AK200" s="1555">
        <f t="shared" si="155"/>
        <v>8158.5166651552627</v>
      </c>
      <c r="AL200" s="1556">
        <f t="shared" si="156"/>
        <v>5227.9039033528143</v>
      </c>
      <c r="AM200" s="1556">
        <f t="shared" si="157"/>
        <v>301.5211010150029</v>
      </c>
      <c r="AN200" s="1556">
        <f t="shared" si="158"/>
        <v>13687.941669523081</v>
      </c>
      <c r="AO200" s="1543">
        <f t="shared" si="159"/>
        <v>0</v>
      </c>
    </row>
    <row r="201" spans="1:41">
      <c r="A201" s="100">
        <f>'Input data'!A141</f>
        <v>2041</v>
      </c>
      <c r="B201" s="1506">
        <f>'Input data'!B141</f>
        <v>71.818612994947316</v>
      </c>
      <c r="C201" s="1507">
        <f>'Input data'!C141</f>
        <v>6920.8570404241891</v>
      </c>
      <c r="D201" s="1507">
        <f>'Input data'!E141</f>
        <v>11135124.826855309</v>
      </c>
      <c r="E201" s="1508">
        <f>'Input data'!J141*C201</f>
        <v>83265.146829994948</v>
      </c>
      <c r="F201" s="1509">
        <f>'Input data'!L141</f>
        <v>94400.271656850266</v>
      </c>
      <c r="G201" s="1510">
        <f t="shared" si="171"/>
        <v>13687.941669523079</v>
      </c>
      <c r="H201" s="1509">
        <f t="shared" si="160"/>
        <v>44539.97548246845</v>
      </c>
      <c r="I201" s="1511">
        <f t="shared" si="135"/>
        <v>11135.12482685531</v>
      </c>
      <c r="J201" s="1504">
        <f t="shared" si="170"/>
        <v>0.4</v>
      </c>
      <c r="K201" s="1512">
        <f t="shared" si="162"/>
        <v>3768.7081786742888</v>
      </c>
      <c r="L201" s="1512">
        <f t="shared" si="136"/>
        <v>0</v>
      </c>
      <c r="M201" s="1511">
        <f t="shared" si="163"/>
        <v>3768.7081786742888</v>
      </c>
      <c r="N201" s="1454">
        <f t="shared" si="169"/>
        <v>0.5</v>
      </c>
      <c r="O201" s="1511">
        <f t="shared" si="137"/>
        <v>751.91700000000026</v>
      </c>
      <c r="P201" s="1481">
        <f t="shared" si="166"/>
        <v>4520.6251786742887</v>
      </c>
      <c r="Q201" s="1364">
        <f t="shared" si="138"/>
        <v>53707.291973317238</v>
      </c>
      <c r="R201" s="1364">
        <f t="shared" si="164"/>
        <v>40019.350303794155</v>
      </c>
      <c r="S201" s="1514">
        <f t="shared" si="139"/>
        <v>0.85100084146877986</v>
      </c>
      <c r="T201" s="135" t="str">
        <f t="shared" si="140"/>
        <v>Yes</v>
      </c>
      <c r="U201" s="1526">
        <f t="shared" si="141"/>
        <v>0.85100084146877986</v>
      </c>
      <c r="V201" s="1494">
        <f t="shared" si="142"/>
        <v>54380.92135305611</v>
      </c>
      <c r="W201" s="1491">
        <f t="shared" si="134"/>
        <v>0.42393257563141884</v>
      </c>
      <c r="X201" s="527">
        <f t="shared" si="143"/>
        <v>13687.941669523083</v>
      </c>
      <c r="Y201" s="1509">
        <f t="shared" si="144"/>
        <v>11121.768116141986</v>
      </c>
      <c r="Z201" s="1531">
        <f t="shared" si="145"/>
        <v>4514.6270989529849</v>
      </c>
      <c r="AA201" s="1531">
        <f t="shared" si="146"/>
        <v>0</v>
      </c>
      <c r="AB201" s="1531">
        <f t="shared" si="147"/>
        <v>25056.584468438061</v>
      </c>
      <c r="AC201" s="1531">
        <f t="shared" si="148"/>
        <v>54380.92135305611</v>
      </c>
      <c r="AD201" s="1005">
        <f t="shared" si="149"/>
        <v>0</v>
      </c>
      <c r="AE201" s="1454">
        <f t="shared" si="150"/>
        <v>0.25170485032162565</v>
      </c>
      <c r="AF201" s="1504">
        <f t="shared" si="151"/>
        <v>0.2045159927309132</v>
      </c>
      <c r="AG201" s="1504">
        <f t="shared" si="152"/>
        <v>8.3018584213437038E-2</v>
      </c>
      <c r="AH201" s="1504">
        <f t="shared" si="165"/>
        <v>0</v>
      </c>
      <c r="AI201" s="1504">
        <f t="shared" si="153"/>
        <v>0.46076057273402421</v>
      </c>
      <c r="AJ201" s="1504">
        <f t="shared" si="154"/>
        <v>1</v>
      </c>
      <c r="AK201" s="1555">
        <f t="shared" si="155"/>
        <v>6681.0748961131849</v>
      </c>
      <c r="AL201" s="1556">
        <f t="shared" si="156"/>
        <v>6621.467705152977</v>
      </c>
      <c r="AM201" s="1556">
        <f t="shared" si="157"/>
        <v>385.39906825692015</v>
      </c>
      <c r="AN201" s="1556">
        <f t="shared" si="158"/>
        <v>13687.941669523083</v>
      </c>
      <c r="AO201" s="1543">
        <f t="shared" si="159"/>
        <v>0</v>
      </c>
    </row>
    <row r="202" spans="1:41">
      <c r="A202" s="100">
        <f>'Input data'!A142</f>
        <v>2042</v>
      </c>
      <c r="B202" s="1506">
        <f>'Input data'!B142</f>
        <v>72.264673338395411</v>
      </c>
      <c r="C202" s="1507">
        <f>'Input data'!C142</f>
        <v>7114.4180841945599</v>
      </c>
      <c r="D202" s="1507">
        <f>'Input data'!E142</f>
        <v>8672721.8784518428</v>
      </c>
      <c r="E202" s="1508">
        <f>'Input data'!J142*C202</f>
        <v>85593.88857916987</v>
      </c>
      <c r="F202" s="1509">
        <f>'Input data'!L142</f>
        <v>94266.610457621719</v>
      </c>
      <c r="G202" s="1510">
        <f t="shared" si="171"/>
        <v>13687.941669523079</v>
      </c>
      <c r="H202" s="1509">
        <f t="shared" si="160"/>
        <v>43565.376462760411</v>
      </c>
      <c r="I202" s="1511">
        <f t="shared" si="135"/>
        <v>8672.7218784518427</v>
      </c>
      <c r="J202" s="1504">
        <f t="shared" si="170"/>
        <v>0.4</v>
      </c>
      <c r="K202" s="1512">
        <f t="shared" si="162"/>
        <v>2935.3023322972049</v>
      </c>
      <c r="L202" s="1512">
        <f t="shared" si="136"/>
        <v>0</v>
      </c>
      <c r="M202" s="1511">
        <f t="shared" si="163"/>
        <v>2935.3023322972049</v>
      </c>
      <c r="N202" s="1454">
        <f t="shared" si="169"/>
        <v>0.5</v>
      </c>
      <c r="O202" s="1511">
        <f t="shared" si="137"/>
        <v>751.91700000000026</v>
      </c>
      <c r="P202" s="1481">
        <f t="shared" si="166"/>
        <v>3687.2193322972053</v>
      </c>
      <c r="Q202" s="1364">
        <f t="shared" si="138"/>
        <v>53566.098799986285</v>
      </c>
      <c r="R202" s="1364">
        <f t="shared" si="164"/>
        <v>39878.157130463209</v>
      </c>
      <c r="S202" s="1514">
        <f t="shared" si="139"/>
        <v>0.8245683212300835</v>
      </c>
      <c r="T202" s="135" t="str">
        <f t="shared" si="140"/>
        <v>Yes</v>
      </c>
      <c r="U202" s="1526">
        <f t="shared" si="141"/>
        <v>0.8245683212300835</v>
      </c>
      <c r="V202" s="1494">
        <f t="shared" si="142"/>
        <v>54388.45332715851</v>
      </c>
      <c r="W202" s="1491">
        <f t="shared" si="134"/>
        <v>0.42303586537028126</v>
      </c>
      <c r="X202" s="527">
        <f t="shared" si="143"/>
        <v>13687.941669523076</v>
      </c>
      <c r="Y202" s="1509">
        <f t="shared" si="144"/>
        <v>10323.288247403594</v>
      </c>
      <c r="Z202" s="1531">
        <f t="shared" si="145"/>
        <v>4619.8617671313086</v>
      </c>
      <c r="AA202" s="1531">
        <f t="shared" si="146"/>
        <v>0</v>
      </c>
      <c r="AB202" s="1531">
        <f t="shared" si="147"/>
        <v>25757.361643100532</v>
      </c>
      <c r="AC202" s="1531">
        <f t="shared" si="148"/>
        <v>54388.45332715851</v>
      </c>
      <c r="AD202" s="1005">
        <f t="shared" si="149"/>
        <v>0</v>
      </c>
      <c r="AE202" s="1454">
        <f t="shared" si="150"/>
        <v>0.25166999302567211</v>
      </c>
      <c r="AF202" s="1504">
        <f t="shared" si="151"/>
        <v>0.18980661548337741</v>
      </c>
      <c r="AG202" s="1504">
        <f t="shared" si="152"/>
        <v>8.4941958899655112E-2</v>
      </c>
      <c r="AH202" s="1504">
        <f t="shared" si="165"/>
        <v>0</v>
      </c>
      <c r="AI202" s="1504">
        <f t="shared" si="153"/>
        <v>0.47358143259129537</v>
      </c>
      <c r="AJ202" s="1504">
        <f t="shared" si="154"/>
        <v>1</v>
      </c>
      <c r="AK202" s="1555">
        <f t="shared" si="155"/>
        <v>5203.6331270711053</v>
      </c>
      <c r="AL202" s="1556">
        <f t="shared" si="156"/>
        <v>8014.1593522355433</v>
      </c>
      <c r="AM202" s="1556">
        <f t="shared" si="157"/>
        <v>470.14919021642555</v>
      </c>
      <c r="AN202" s="1556">
        <f t="shared" si="158"/>
        <v>13687.941669523074</v>
      </c>
      <c r="AO202" s="1543">
        <f t="shared" si="159"/>
        <v>0</v>
      </c>
    </row>
    <row r="203" spans="1:41">
      <c r="A203" s="100">
        <f>'Input data'!A143</f>
        <v>2043</v>
      </c>
      <c r="B203" s="1506">
        <f>'Input data'!B143</f>
        <v>72.713504131197794</v>
      </c>
      <c r="C203" s="1507">
        <f>'Input data'!C143</f>
        <v>7308.347295357521</v>
      </c>
      <c r="D203" s="1507">
        <f>'Input data'!E143</f>
        <v>6210318.9300483763</v>
      </c>
      <c r="E203" s="1508">
        <f>'Input data'!J143*C203</f>
        <v>87927.059767043364</v>
      </c>
      <c r="F203" s="1509">
        <f>'Input data'!L143</f>
        <v>94137.378697091743</v>
      </c>
      <c r="G203" s="1510">
        <f t="shared" si="171"/>
        <v>13687.941669523079</v>
      </c>
      <c r="H203" s="1509">
        <f t="shared" si="160"/>
        <v>42593.319086514079</v>
      </c>
      <c r="I203" s="1511">
        <f t="shared" si="135"/>
        <v>6210.3189300483764</v>
      </c>
      <c r="J203" s="1504">
        <f t="shared" si="170"/>
        <v>0.4</v>
      </c>
      <c r="K203" s="1512">
        <f t="shared" si="162"/>
        <v>2101.8964859201214</v>
      </c>
      <c r="L203" s="1512">
        <f t="shared" si="136"/>
        <v>0</v>
      </c>
      <c r="M203" s="1511">
        <f t="shared" si="163"/>
        <v>2101.8964859201214</v>
      </c>
      <c r="N203" s="1454">
        <f t="shared" si="169"/>
        <v>0.5</v>
      </c>
      <c r="O203" s="1511">
        <f t="shared" si="137"/>
        <v>751.91700000000026</v>
      </c>
      <c r="P203" s="1481">
        <f t="shared" si="166"/>
        <v>2853.8134859201218</v>
      </c>
      <c r="Q203" s="1364">
        <f t="shared" si="138"/>
        <v>53427.447270117031</v>
      </c>
      <c r="R203" s="1364">
        <f t="shared" si="164"/>
        <v>39739.505600593955</v>
      </c>
      <c r="S203" s="1514">
        <f t="shared" si="139"/>
        <v>0.79956743288108301</v>
      </c>
      <c r="T203" s="135" t="str">
        <f t="shared" si="140"/>
        <v>Yes</v>
      </c>
      <c r="U203" s="1526">
        <f t="shared" si="141"/>
        <v>0.79956743288108301</v>
      </c>
      <c r="V203" s="1494">
        <f t="shared" si="142"/>
        <v>54397.873096497788</v>
      </c>
      <c r="W203" s="1491">
        <f t="shared" si="134"/>
        <v>0.42214374513725073</v>
      </c>
      <c r="X203" s="527">
        <f t="shared" si="143"/>
        <v>13687.941669523074</v>
      </c>
      <c r="Y203" s="1509">
        <f t="shared" si="144"/>
        <v>9525.1630798827682</v>
      </c>
      <c r="Z203" s="1531">
        <f t="shared" si="145"/>
        <v>4725.2965994162041</v>
      </c>
      <c r="AA203" s="1531">
        <f t="shared" si="146"/>
        <v>0</v>
      </c>
      <c r="AB203" s="1531">
        <f t="shared" si="147"/>
        <v>26459.471747675743</v>
      </c>
      <c r="AC203" s="1531">
        <f t="shared" si="148"/>
        <v>54397.873096497788</v>
      </c>
      <c r="AD203" s="1005">
        <f t="shared" si="149"/>
        <v>0</v>
      </c>
      <c r="AE203" s="1454">
        <f t="shared" si="150"/>
        <v>0.25162641276878017</v>
      </c>
      <c r="AF203" s="1504">
        <f t="shared" si="151"/>
        <v>0.17510175559595567</v>
      </c>
      <c r="AG203" s="1504">
        <f t="shared" si="152"/>
        <v>8.6865466063974203E-2</v>
      </c>
      <c r="AH203" s="1504">
        <f t="shared" si="165"/>
        <v>0</v>
      </c>
      <c r="AI203" s="1504">
        <f t="shared" si="153"/>
        <v>0.48640636557128997</v>
      </c>
      <c r="AJ203" s="1504">
        <f t="shared" si="154"/>
        <v>1</v>
      </c>
      <c r="AK203" s="1555">
        <f t="shared" si="155"/>
        <v>3726.1913580290257</v>
      </c>
      <c r="AL203" s="1556">
        <f t="shared" si="156"/>
        <v>9405.8497493109044</v>
      </c>
      <c r="AM203" s="1556">
        <f t="shared" si="157"/>
        <v>555.90056218314351</v>
      </c>
      <c r="AN203" s="1556">
        <f t="shared" si="158"/>
        <v>13687.941669523074</v>
      </c>
      <c r="AO203" s="1543">
        <f t="shared" si="159"/>
        <v>0</v>
      </c>
    </row>
    <row r="204" spans="1:41">
      <c r="A204" s="100">
        <f>'Input data'!A144</f>
        <v>2044</v>
      </c>
      <c r="B204" s="1506">
        <f>'Input data'!B144</f>
        <v>73.165122580420132</v>
      </c>
      <c r="C204" s="1507">
        <f>'Input data'!C144</f>
        <v>7506.518596985471</v>
      </c>
      <c r="D204" s="1507">
        <f>'Input data'!E144</f>
        <v>3747915.9816449117</v>
      </c>
      <c r="E204" s="1508">
        <f>'Input data'!J144*C204</f>
        <v>90311.267738854192</v>
      </c>
      <c r="F204" s="1509">
        <f>'Input data'!L144</f>
        <v>94059.183720499102</v>
      </c>
      <c r="G204" s="1510">
        <f t="shared" si="171"/>
        <v>13687.941669523079</v>
      </c>
      <c r="H204" s="1509">
        <f t="shared" si="160"/>
        <v>41650.546980259591</v>
      </c>
      <c r="I204" s="1511">
        <f t="shared" si="135"/>
        <v>3747.9159816449119</v>
      </c>
      <c r="J204" s="1504">
        <f t="shared" si="170"/>
        <v>0.4</v>
      </c>
      <c r="K204" s="1512">
        <f t="shared" si="162"/>
        <v>1268.4906395430385</v>
      </c>
      <c r="L204" s="1512">
        <f t="shared" si="136"/>
        <v>0</v>
      </c>
      <c r="M204" s="1511">
        <f t="shared" si="163"/>
        <v>1268.4906395430385</v>
      </c>
      <c r="N204" s="1454">
        <f t="shared" si="169"/>
        <v>0.5</v>
      </c>
      <c r="O204" s="1511">
        <f t="shared" si="137"/>
        <v>751.91700000000026</v>
      </c>
      <c r="P204" s="1481">
        <f t="shared" si="166"/>
        <v>2020.4076395430388</v>
      </c>
      <c r="Q204" s="1364">
        <f t="shared" si="138"/>
        <v>53318.081010239628</v>
      </c>
      <c r="R204" s="1364">
        <f t="shared" si="164"/>
        <v>39630.139340716545</v>
      </c>
      <c r="S204" s="1514">
        <f t="shared" si="139"/>
        <v>0.77600662154398836</v>
      </c>
      <c r="T204" s="135" t="str">
        <f t="shared" si="140"/>
        <v>Yes</v>
      </c>
      <c r="U204" s="1526">
        <f t="shared" si="141"/>
        <v>0.77600662154398836</v>
      </c>
      <c r="V204" s="1494">
        <f t="shared" si="142"/>
        <v>54429.044379782572</v>
      </c>
      <c r="W204" s="1491">
        <f>(1-V204/F204)</f>
        <v>0.42133195051404215</v>
      </c>
      <c r="X204" s="527">
        <f t="shared" si="143"/>
        <v>13687.941669523087</v>
      </c>
      <c r="Y204" s="1509">
        <f t="shared" si="144"/>
        <v>8731.1248431527856</v>
      </c>
      <c r="Z204" s="1531">
        <f t="shared" si="145"/>
        <v>4833.0377582933197</v>
      </c>
      <c r="AA204" s="1531">
        <f t="shared" si="146"/>
        <v>0</v>
      </c>
      <c r="AB204" s="1531">
        <f t="shared" si="147"/>
        <v>27176.940108813385</v>
      </c>
      <c r="AC204" s="1531">
        <f t="shared" si="148"/>
        <v>54429.044379782572</v>
      </c>
      <c r="AD204" s="1005">
        <f t="shared" si="149"/>
        <v>0</v>
      </c>
      <c r="AE204" s="1454">
        <f t="shared" si="150"/>
        <v>0.25148230738747662</v>
      </c>
      <c r="AF204" s="1504">
        <f t="shared" si="151"/>
        <v>0.16041297330577281</v>
      </c>
      <c r="AG204" s="1504">
        <f t="shared" si="152"/>
        <v>8.8795197736165482E-2</v>
      </c>
      <c r="AH204" s="1504">
        <f t="shared" si="165"/>
        <v>0</v>
      </c>
      <c r="AI204" s="1504">
        <f t="shared" si="153"/>
        <v>0.49930952157058522</v>
      </c>
      <c r="AJ204" s="1504">
        <f t="shared" si="154"/>
        <v>1.0000000000000002</v>
      </c>
      <c r="AK204" s="1555">
        <f t="shared" si="155"/>
        <v>2248.7495889869469</v>
      </c>
      <c r="AL204" s="1556">
        <f t="shared" si="156"/>
        <v>10796.53299005724</v>
      </c>
      <c r="AM204" s="1556">
        <f t="shared" si="157"/>
        <v>642.65909047889772</v>
      </c>
      <c r="AN204" s="1556">
        <f t="shared" si="158"/>
        <v>13687.941669523083</v>
      </c>
      <c r="AO204" s="1543">
        <f t="shared" si="159"/>
        <v>0</v>
      </c>
    </row>
    <row r="205" spans="1:41">
      <c r="A205" s="100">
        <f>'Input data'!A145</f>
        <v>2045</v>
      </c>
      <c r="B205" s="1506">
        <f>'Input data'!B145</f>
        <v>73.619545999999971</v>
      </c>
      <c r="C205" s="1507">
        <f>'Input data'!C145</f>
        <v>7710.3236783048815</v>
      </c>
      <c r="D205" s="1507">
        <f>'Input data'!E145</f>
        <v>1285513.0332414466</v>
      </c>
      <c r="E205" s="1508">
        <f>'Input data'!J145*C205</f>
        <v>92763.255971184393</v>
      </c>
      <c r="F205" s="1509">
        <f>'Input data'!L145</f>
        <v>94048.769004425834</v>
      </c>
      <c r="G205" s="1510">
        <f t="shared" si="171"/>
        <v>13687.941669523079</v>
      </c>
      <c r="H205" s="1509">
        <f t="shared" si="160"/>
        <v>40746.667670068913</v>
      </c>
      <c r="I205" s="1511">
        <f t="shared" si="135"/>
        <v>1285.5130332414467</v>
      </c>
      <c r="J205" s="1504">
        <f t="shared" si="170"/>
        <v>0.4</v>
      </c>
      <c r="K205" s="1512">
        <f t="shared" si="162"/>
        <v>435.08479316595498</v>
      </c>
      <c r="L205" s="1512">
        <f t="shared" si="136"/>
        <v>0</v>
      </c>
      <c r="M205" s="1511">
        <f t="shared" si="163"/>
        <v>435.08479316595498</v>
      </c>
      <c r="N205" s="1454">
        <f t="shared" si="169"/>
        <v>0.5</v>
      </c>
      <c r="O205" s="1511">
        <f t="shared" si="137"/>
        <v>751.91700000000026</v>
      </c>
      <c r="P205" s="1481">
        <f t="shared" si="166"/>
        <v>1187.0017931659552</v>
      </c>
      <c r="Q205" s="1364">
        <f t="shared" si="138"/>
        <v>53247.607546426036</v>
      </c>
      <c r="R205" s="1364">
        <f t="shared" si="164"/>
        <v>39559.66587690296</v>
      </c>
      <c r="S205" s="1514">
        <f t="shared" si="139"/>
        <v>0.75385776213447309</v>
      </c>
      <c r="T205" s="135" t="str">
        <f t="shared" si="140"/>
        <v>Yes</v>
      </c>
      <c r="U205" s="1526">
        <f t="shared" si="141"/>
        <v>0.75385776213447309</v>
      </c>
      <c r="V205" s="1494">
        <f t="shared" si="142"/>
        <v>54489.103127522903</v>
      </c>
      <c r="W205" s="1491">
        <f t="shared" si="134"/>
        <v>0.42062927878451328</v>
      </c>
      <c r="X205" s="527">
        <f t="shared" si="143"/>
        <v>13687.941669523079</v>
      </c>
      <c r="Y205" s="1509">
        <f t="shared" si="144"/>
        <v>7942.5143236956574</v>
      </c>
      <c r="Z205" s="1531">
        <f t="shared" si="145"/>
        <v>4943.8418730466392</v>
      </c>
      <c r="AA205" s="1531">
        <f t="shared" si="146"/>
        <v>0</v>
      </c>
      <c r="AB205" s="1531">
        <f t="shared" si="147"/>
        <v>27914.805261257523</v>
      </c>
      <c r="AC205" s="1531">
        <f t="shared" si="148"/>
        <v>54489.103127522903</v>
      </c>
      <c r="AD205" s="1005">
        <f t="shared" si="149"/>
        <v>0</v>
      </c>
      <c r="AE205" s="1454">
        <f t="shared" si="150"/>
        <v>0.25120511962710551</v>
      </c>
      <c r="AF205" s="1504">
        <f t="shared" si="151"/>
        <v>0.1457633520799102</v>
      </c>
      <c r="AG205" s="1504">
        <f t="shared" si="152"/>
        <v>9.073083587880644E-2</v>
      </c>
      <c r="AH205" s="1504">
        <f t="shared" si="165"/>
        <v>0</v>
      </c>
      <c r="AI205" s="1504">
        <f t="shared" si="153"/>
        <v>0.51230069241417775</v>
      </c>
      <c r="AJ205" s="1504">
        <f t="shared" si="154"/>
        <v>0.99999999999999989</v>
      </c>
      <c r="AK205" s="1555">
        <f t="shared" si="155"/>
        <v>771.30781994486802</v>
      </c>
      <c r="AL205" s="1556">
        <f t="shared" si="156"/>
        <v>12186.228744503591</v>
      </c>
      <c r="AM205" s="1556">
        <f t="shared" si="157"/>
        <v>730.40510507461875</v>
      </c>
      <c r="AN205" s="1556">
        <f t="shared" si="158"/>
        <v>13687.941669523078</v>
      </c>
      <c r="AO205" s="1543">
        <f t="shared" si="159"/>
        <v>0</v>
      </c>
    </row>
    <row r="206" spans="1:41">
      <c r="A206" s="100">
        <f>'Input data'!A146</f>
        <v>2046</v>
      </c>
      <c r="B206" s="1506">
        <f>'Input data'!B146</f>
        <v>73.995362001779526</v>
      </c>
      <c r="C206" s="1507">
        <f>'Input data'!C146</f>
        <v>7937.3408756753133</v>
      </c>
      <c r="D206" s="1507">
        <f>'Input data'!E146</f>
        <v>1075389.49817775</v>
      </c>
      <c r="E206" s="1508">
        <f>'Input data'!J146*C206</f>
        <v>95494.510230819331</v>
      </c>
      <c r="F206" s="1509">
        <f>'Input data'!L146</f>
        <v>96569.899728997087</v>
      </c>
      <c r="G206" s="1510">
        <f t="shared" si="171"/>
        <v>13687.941669523079</v>
      </c>
      <c r="H206" s="1509">
        <f t="shared" si="160"/>
        <v>42116.689903411301</v>
      </c>
      <c r="I206" s="1511">
        <f t="shared" si="135"/>
        <v>1075.3894981777501</v>
      </c>
      <c r="J206" s="1504">
        <f t="shared" si="170"/>
        <v>0.4</v>
      </c>
      <c r="K206" s="1512">
        <f t="shared" si="162"/>
        <v>363.96800754926898</v>
      </c>
      <c r="L206" s="1512">
        <f t="shared" si="136"/>
        <v>0</v>
      </c>
      <c r="M206" s="1511">
        <f t="shared" si="163"/>
        <v>363.96800754926898</v>
      </c>
      <c r="N206" s="1454">
        <f t="shared" si="169"/>
        <v>0.5</v>
      </c>
      <c r="O206" s="1511">
        <f t="shared" si="137"/>
        <v>751.91700000000026</v>
      </c>
      <c r="P206" s="1481">
        <f t="shared" si="166"/>
        <v>1115.8850075492692</v>
      </c>
      <c r="Q206" s="1364">
        <f t="shared" si="138"/>
        <v>54688.746565385118</v>
      </c>
      <c r="R206" s="1364">
        <f t="shared" si="164"/>
        <v>41000.804895862035</v>
      </c>
      <c r="S206" s="1514">
        <f t="shared" si="139"/>
        <v>0.75866283890834152</v>
      </c>
      <c r="T206" s="135" t="str">
        <f t="shared" si="140"/>
        <v>Yes</v>
      </c>
      <c r="U206" s="1526">
        <f t="shared" si="141"/>
        <v>0.75866283890834152</v>
      </c>
      <c r="V206" s="1494">
        <f t="shared" si="142"/>
        <v>55569.094833135066</v>
      </c>
      <c r="W206" s="1491">
        <f t="shared" si="134"/>
        <v>0.42457126921454891</v>
      </c>
      <c r="X206" s="527">
        <f t="shared" si="143"/>
        <v>13687.941669523081</v>
      </c>
      <c r="Y206" s="1509">
        <f t="shared" si="144"/>
        <v>8077.1786739430172</v>
      </c>
      <c r="Z206" s="1531">
        <f t="shared" si="145"/>
        <v>5067.2658790898813</v>
      </c>
      <c r="AA206" s="1531">
        <f t="shared" si="146"/>
        <v>0</v>
      </c>
      <c r="AB206" s="1531">
        <f t="shared" si="147"/>
        <v>28736.70861057908</v>
      </c>
      <c r="AC206" s="1531">
        <f t="shared" si="148"/>
        <v>55569.094833135066</v>
      </c>
      <c r="AD206" s="1005">
        <f t="shared" si="149"/>
        <v>0</v>
      </c>
      <c r="AE206" s="649">
        <f t="shared" si="150"/>
        <v>0.2463229194325684</v>
      </c>
      <c r="AF206" s="417">
        <f t="shared" si="151"/>
        <v>0.14535379239480989</v>
      </c>
      <c r="AG206" s="417">
        <f t="shared" si="152"/>
        <v>9.1188562532934087E-2</v>
      </c>
      <c r="AH206" s="417">
        <f t="shared" si="165"/>
        <v>0</v>
      </c>
      <c r="AI206" s="417">
        <f t="shared" si="153"/>
        <v>0.51713472563968754</v>
      </c>
      <c r="AJ206" s="417">
        <f t="shared" si="154"/>
        <v>0.99999999999999989</v>
      </c>
      <c r="AK206" s="1497">
        <f t="shared" si="155"/>
        <v>645.23369890665003</v>
      </c>
      <c r="AL206" s="1498">
        <f t="shared" si="156"/>
        <v>12300.132863234181</v>
      </c>
      <c r="AM206" s="1498">
        <f t="shared" si="157"/>
        <v>742.57510738224892</v>
      </c>
      <c r="AN206" s="1498">
        <f t="shared" si="158"/>
        <v>13687.941669523079</v>
      </c>
      <c r="AO206" s="1184">
        <f t="shared" si="159"/>
        <v>0</v>
      </c>
    </row>
    <row r="207" spans="1:41">
      <c r="A207" s="100">
        <f>'Input data'!A147</f>
        <v>2047</v>
      </c>
      <c r="B207" s="1506">
        <f>'Input data'!B147</f>
        <v>74.373096484110363</v>
      </c>
      <c r="C207" s="1507">
        <f>'Input data'!C147</f>
        <v>8114.689906663607</v>
      </c>
      <c r="D207" s="1507">
        <f>'Input data'!E147</f>
        <v>865265.96311405371</v>
      </c>
      <c r="E207" s="1508">
        <f>'Input data'!J147*C207</f>
        <v>97628.204514510595</v>
      </c>
      <c r="F207" s="1509">
        <f>'Input data'!L147</f>
        <v>98493.470477624651</v>
      </c>
      <c r="G207" s="1510">
        <f t="shared" si="171"/>
        <v>13687.941669523079</v>
      </c>
      <c r="H207" s="1509">
        <f t="shared" si="160"/>
        <v>43143.827968085869</v>
      </c>
      <c r="I207" s="1511">
        <f t="shared" si="135"/>
        <v>865.26596311405376</v>
      </c>
      <c r="J207" s="1504">
        <f t="shared" si="170"/>
        <v>0.4</v>
      </c>
      <c r="K207" s="1512">
        <f t="shared" si="162"/>
        <v>292.85122193258309</v>
      </c>
      <c r="L207" s="1512">
        <f t="shared" si="136"/>
        <v>0</v>
      </c>
      <c r="M207" s="1511">
        <f t="shared" si="163"/>
        <v>292.85122193258309</v>
      </c>
      <c r="N207" s="1454">
        <f t="shared" si="169"/>
        <v>0.5</v>
      </c>
      <c r="O207" s="1511">
        <f t="shared" si="137"/>
        <v>751.91700000000026</v>
      </c>
      <c r="P207" s="1481">
        <f t="shared" si="166"/>
        <v>1044.7682219325834</v>
      </c>
      <c r="Q207" s="1364">
        <f t="shared" si="138"/>
        <v>55787.001415676365</v>
      </c>
      <c r="R207" s="1364">
        <f t="shared" si="164"/>
        <v>42099.059746153289</v>
      </c>
      <c r="S207" s="1514">
        <f t="shared" si="139"/>
        <v>0.7617279478670349</v>
      </c>
      <c r="T207" s="135" t="str">
        <f t="shared" si="140"/>
        <v>Yes</v>
      </c>
      <c r="U207" s="1526">
        <f t="shared" si="141"/>
        <v>0.7617279478670349</v>
      </c>
      <c r="V207" s="1494">
        <f t="shared" si="142"/>
        <v>56394.410731471369</v>
      </c>
      <c r="W207" s="1491">
        <f t="shared" si="134"/>
        <v>0.42742995593517208</v>
      </c>
      <c r="X207" s="527">
        <f t="shared" si="143"/>
        <v>13687.941669523076</v>
      </c>
      <c r="Y207" s="1509">
        <f t="shared" si="144"/>
        <v>8163.9915320576392</v>
      </c>
      <c r="Z207" s="1531">
        <f t="shared" si="145"/>
        <v>5163.6864504210689</v>
      </c>
      <c r="AA207" s="1531">
        <f t="shared" si="146"/>
        <v>0</v>
      </c>
      <c r="AB207" s="1531">
        <f t="shared" si="147"/>
        <v>29378.791079469585</v>
      </c>
      <c r="AC207" s="1531">
        <f t="shared" si="148"/>
        <v>56394.410731471369</v>
      </c>
      <c r="AD207" s="1487">
        <f t="shared" si="149"/>
        <v>0</v>
      </c>
      <c r="AE207" s="649">
        <f t="shared" si="150"/>
        <v>0.24271805471467417</v>
      </c>
      <c r="AF207" s="417">
        <f t="shared" si="151"/>
        <v>0.1447659692896065</v>
      </c>
      <c r="AG207" s="417">
        <f t="shared" si="152"/>
        <v>9.1563798316974532E-2</v>
      </c>
      <c r="AH207" s="417">
        <f t="shared" si="165"/>
        <v>0</v>
      </c>
      <c r="AI207" s="417">
        <f t="shared" si="153"/>
        <v>0.5209521776787448</v>
      </c>
      <c r="AJ207" s="417">
        <f t="shared" si="154"/>
        <v>1</v>
      </c>
      <c r="AK207" s="1497">
        <f t="shared" si="155"/>
        <v>519.15957786843228</v>
      </c>
      <c r="AL207" s="1498">
        <f t="shared" si="156"/>
        <v>12415.253874938458</v>
      </c>
      <c r="AM207" s="1498">
        <f t="shared" si="157"/>
        <v>753.52821671618051</v>
      </c>
      <c r="AN207" s="1498">
        <f t="shared" si="158"/>
        <v>13687.94166952307</v>
      </c>
      <c r="AO207" s="1184">
        <f t="shared" si="159"/>
        <v>0</v>
      </c>
    </row>
    <row r="208" spans="1:41">
      <c r="A208" s="100">
        <f>'Input data'!A148</f>
        <v>2048</v>
      </c>
      <c r="B208" s="1506">
        <f>'Input data'!B148</f>
        <v>74.752759240528661</v>
      </c>
      <c r="C208" s="1507">
        <f>'Input data'!C148</f>
        <v>8296.4877206561141</v>
      </c>
      <c r="D208" s="1507">
        <f>'Input data'!E148</f>
        <v>655142.42805035703</v>
      </c>
      <c r="E208" s="1508">
        <f>'Input data'!J148*C208</f>
        <v>99815.422309509362</v>
      </c>
      <c r="F208" s="1509">
        <f>'Input data'!L148</f>
        <v>100470.56473755972</v>
      </c>
      <c r="G208" s="1510">
        <f t="shared" si="171"/>
        <v>13687.941669523079</v>
      </c>
      <c r="H208" s="1509">
        <f t="shared" si="160"/>
        <v>44201.678204622134</v>
      </c>
      <c r="I208" s="1511">
        <f t="shared" si="135"/>
        <v>655.14242805035701</v>
      </c>
      <c r="J208" s="1504">
        <f t="shared" si="170"/>
        <v>0.4</v>
      </c>
      <c r="K208" s="1512">
        <f t="shared" si="162"/>
        <v>221.734436315897</v>
      </c>
      <c r="L208" s="1512">
        <f t="shared" si="136"/>
        <v>0</v>
      </c>
      <c r="M208" s="1511">
        <f t="shared" si="163"/>
        <v>221.734436315897</v>
      </c>
      <c r="N208" s="1454">
        <f t="shared" si="169"/>
        <v>0.5</v>
      </c>
      <c r="O208" s="1511">
        <f t="shared" si="137"/>
        <v>751.91700000000026</v>
      </c>
      <c r="P208" s="1481">
        <f t="shared" si="166"/>
        <v>973.65143631589729</v>
      </c>
      <c r="Q208" s="1364">
        <f t="shared" si="138"/>
        <v>56915.968437829317</v>
      </c>
      <c r="R208" s="1364">
        <f t="shared" si="164"/>
        <v>43228.026768306241</v>
      </c>
      <c r="S208" s="1514">
        <f t="shared" si="139"/>
        <v>0.76478807322757936</v>
      </c>
      <c r="T208" s="135" t="str">
        <f t="shared" si="140"/>
        <v>Yes</v>
      </c>
      <c r="U208" s="1526">
        <f t="shared" si="141"/>
        <v>0.76478807322757936</v>
      </c>
      <c r="V208" s="1494">
        <f t="shared" si="142"/>
        <v>57242.537969253484</v>
      </c>
      <c r="W208" s="1491">
        <f t="shared" si="134"/>
        <v>0.43025563637690944</v>
      </c>
      <c r="X208" s="527">
        <f t="shared" si="143"/>
        <v>13687.941669523078</v>
      </c>
      <c r="Y208" s="1509">
        <f t="shared" si="144"/>
        <v>8255.0904534685887</v>
      </c>
      <c r="Z208" s="1531">
        <f t="shared" si="145"/>
        <v>5262.5257223033932</v>
      </c>
      <c r="AA208" s="1531">
        <f t="shared" si="146"/>
        <v>0</v>
      </c>
      <c r="AB208" s="1531">
        <f t="shared" si="147"/>
        <v>30036.980123958427</v>
      </c>
      <c r="AC208" s="1531">
        <f t="shared" si="148"/>
        <v>57242.537969253484</v>
      </c>
      <c r="AD208" s="1487">
        <f t="shared" si="149"/>
        <v>0</v>
      </c>
      <c r="AE208" s="649">
        <f t="shared" si="150"/>
        <v>0.23912185160055693</v>
      </c>
      <c r="AF208" s="417">
        <f t="shared" si="151"/>
        <v>0.14421251653626227</v>
      </c>
      <c r="AG208" s="417">
        <f t="shared" si="152"/>
        <v>9.1933829438695366E-2</v>
      </c>
      <c r="AH208" s="417">
        <f t="shared" si="165"/>
        <v>0</v>
      </c>
      <c r="AI208" s="417">
        <f t="shared" si="153"/>
        <v>0.52473180242448547</v>
      </c>
      <c r="AJ208" s="417">
        <f t="shared" si="154"/>
        <v>1</v>
      </c>
      <c r="AK208" s="1497">
        <f t="shared" si="155"/>
        <v>393.08545683021418</v>
      </c>
      <c r="AL208" s="1498">
        <f t="shared" si="156"/>
        <v>12530.378372055246</v>
      </c>
      <c r="AM208" s="1498">
        <f t="shared" si="157"/>
        <v>764.47784063761378</v>
      </c>
      <c r="AN208" s="1498">
        <f t="shared" si="158"/>
        <v>13687.941669523074</v>
      </c>
      <c r="AO208" s="1184">
        <f t="shared" si="159"/>
        <v>0</v>
      </c>
    </row>
    <row r="209" spans="1:41">
      <c r="A209" s="100">
        <f>'Input data'!A149</f>
        <v>2049</v>
      </c>
      <c r="B209" s="1506">
        <f>'Input data'!B149</f>
        <v>75.134360114565098</v>
      </c>
      <c r="C209" s="1507">
        <f>'Input data'!C149</f>
        <v>8472.9909282566368</v>
      </c>
      <c r="D209" s="1507">
        <f>'Input data'!E149</f>
        <v>445018.89298666047</v>
      </c>
      <c r="E209" s="1508">
        <f>'Input data'!J149*C209</f>
        <v>101938.94045343013</v>
      </c>
      <c r="F209" s="1509">
        <f>'Input data'!L149</f>
        <v>102383.95934641678</v>
      </c>
      <c r="G209" s="1510">
        <f t="shared" si="171"/>
        <v>13687.941669523079</v>
      </c>
      <c r="H209" s="1509">
        <f t="shared" si="160"/>
        <v>45222.977127844933</v>
      </c>
      <c r="I209" s="1511">
        <f t="shared" si="135"/>
        <v>445.01889298666049</v>
      </c>
      <c r="J209" s="1504">
        <f t="shared" si="170"/>
        <v>0.4</v>
      </c>
      <c r="K209" s="1512">
        <f t="shared" si="162"/>
        <v>150.617650699211</v>
      </c>
      <c r="L209" s="1512">
        <f t="shared" si="136"/>
        <v>0</v>
      </c>
      <c r="M209" s="1511">
        <f t="shared" si="163"/>
        <v>150.617650699211</v>
      </c>
      <c r="N209" s="1454">
        <f t="shared" si="169"/>
        <v>0.5</v>
      </c>
      <c r="O209" s="1511">
        <f t="shared" si="137"/>
        <v>751.91700000000026</v>
      </c>
      <c r="P209" s="1481">
        <f t="shared" si="166"/>
        <v>902.53465069921128</v>
      </c>
      <c r="Q209" s="1364">
        <f t="shared" si="138"/>
        <v>58008.384146668803</v>
      </c>
      <c r="R209" s="1364">
        <f t="shared" si="164"/>
        <v>44320.442477145727</v>
      </c>
      <c r="S209" s="1514">
        <f t="shared" si="139"/>
        <v>0.76756821529530794</v>
      </c>
      <c r="T209" s="135" t="str">
        <f t="shared" si="140"/>
        <v>Yes</v>
      </c>
      <c r="U209" s="1526">
        <f t="shared" si="141"/>
        <v>0.76756821529530794</v>
      </c>
      <c r="V209" s="1494">
        <f t="shared" si="142"/>
        <v>58063.516869271072</v>
      </c>
      <c r="W209" s="1491">
        <f t="shared" si="134"/>
        <v>0.43288463114800246</v>
      </c>
      <c r="X209" s="527">
        <f t="shared" si="143"/>
        <v>13687.941669523074</v>
      </c>
      <c r="Y209" s="1509">
        <f t="shared" si="144"/>
        <v>8341.0884252257347</v>
      </c>
      <c r="Z209" s="1531">
        <f t="shared" si="145"/>
        <v>5358.4864389974309</v>
      </c>
      <c r="AA209" s="1531">
        <f t="shared" si="146"/>
        <v>0</v>
      </c>
      <c r="AB209" s="1531">
        <f t="shared" si="147"/>
        <v>30676.000335524837</v>
      </c>
      <c r="AC209" s="1531">
        <f t="shared" si="148"/>
        <v>58063.516869271072</v>
      </c>
      <c r="AD209" s="1487">
        <f t="shared" si="149"/>
        <v>0</v>
      </c>
      <c r="AE209" s="649">
        <f t="shared" si="150"/>
        <v>0.23574083017295042</v>
      </c>
      <c r="AF209" s="417">
        <f t="shared" si="151"/>
        <v>0.14365455065364952</v>
      </c>
      <c r="AG209" s="417">
        <f t="shared" si="152"/>
        <v>9.2286632431548429E-2</v>
      </c>
      <c r="AH209" s="417">
        <f t="shared" si="165"/>
        <v>0</v>
      </c>
      <c r="AI209" s="417">
        <f t="shared" si="153"/>
        <v>0.52831798674185171</v>
      </c>
      <c r="AJ209" s="417">
        <f t="shared" si="154"/>
        <v>1</v>
      </c>
      <c r="AK209" s="1497">
        <f t="shared" si="155"/>
        <v>267.01133579199632</v>
      </c>
      <c r="AL209" s="1498">
        <f t="shared" si="156"/>
        <v>12645.698682967439</v>
      </c>
      <c r="AM209" s="1498">
        <f t="shared" si="157"/>
        <v>775.23165076363637</v>
      </c>
      <c r="AN209" s="1498">
        <f t="shared" si="158"/>
        <v>13687.941669523072</v>
      </c>
      <c r="AO209" s="1184">
        <f t="shared" si="159"/>
        <v>0</v>
      </c>
    </row>
    <row r="210" spans="1:41" ht="15.75" thickBot="1">
      <c r="A210" s="161">
        <f>'Input data'!A150</f>
        <v>2050</v>
      </c>
      <c r="B210" s="1515">
        <f>'Input data'!B150</f>
        <v>75.517908999999989</v>
      </c>
      <c r="C210" s="1516">
        <f>'Input data'!C150</f>
        <v>8654.8011856383091</v>
      </c>
      <c r="D210" s="1516">
        <f>'Input data'!E150</f>
        <v>234895.35792296397</v>
      </c>
      <c r="E210" s="1517">
        <f>'Input data'!J150*C210</f>
        <v>104126.30795541168</v>
      </c>
      <c r="F210" s="1518">
        <f>'Input data'!L150</f>
        <v>104361.20331333466</v>
      </c>
      <c r="G210" s="1519">
        <f t="shared" si="171"/>
        <v>13687.941669523079</v>
      </c>
      <c r="H210" s="1518">
        <f t="shared" si="160"/>
        <v>46280.913267313808</v>
      </c>
      <c r="I210" s="1520">
        <f t="shared" si="135"/>
        <v>234.89535792296397</v>
      </c>
      <c r="J210" s="1521">
        <f t="shared" si="170"/>
        <v>0.4</v>
      </c>
      <c r="K210" s="1518">
        <f t="shared" si="162"/>
        <v>79.50086508252501</v>
      </c>
      <c r="L210" s="1518">
        <f t="shared" si="136"/>
        <v>0</v>
      </c>
      <c r="M210" s="1520">
        <f t="shared" si="163"/>
        <v>79.50086508252501</v>
      </c>
      <c r="N210" s="1522">
        <f t="shared" si="169"/>
        <v>0.5</v>
      </c>
      <c r="O210" s="1520">
        <f t="shared" si="137"/>
        <v>751.91700000000026</v>
      </c>
      <c r="P210" s="1482">
        <f t="shared" si="166"/>
        <v>831.41786508252528</v>
      </c>
      <c r="Q210" s="1485">
        <f t="shared" si="138"/>
        <v>59137.437071754357</v>
      </c>
      <c r="R210" s="1485">
        <f t="shared" si="164"/>
        <v>45449.495402231274</v>
      </c>
      <c r="S210" s="1523">
        <f t="shared" si="139"/>
        <v>0.77037613269252614</v>
      </c>
      <c r="T210" s="1105" t="str">
        <f t="shared" si="140"/>
        <v>Yes</v>
      </c>
      <c r="U210" s="1528">
        <f t="shared" si="141"/>
        <v>0.77037613269252614</v>
      </c>
      <c r="V210" s="1495">
        <f t="shared" si="142"/>
        <v>58911.707911103389</v>
      </c>
      <c r="W210" s="1492">
        <f t="shared" si="134"/>
        <v>0.43550183362464157</v>
      </c>
      <c r="X210" s="670">
        <f t="shared" si="143"/>
        <v>13687.941669523079</v>
      </c>
      <c r="Y210" s="1518">
        <f t="shared" si="144"/>
        <v>8432.1993348935939</v>
      </c>
      <c r="Z210" s="1532">
        <f t="shared" si="145"/>
        <v>5457.3324760629976</v>
      </c>
      <c r="AA210" s="1532">
        <f t="shared" si="146"/>
        <v>0</v>
      </c>
      <c r="AB210" s="1532">
        <f t="shared" si="147"/>
        <v>31334.234430623717</v>
      </c>
      <c r="AC210" s="1532">
        <f t="shared" si="148"/>
        <v>58911.707911103389</v>
      </c>
      <c r="AD210" s="1488">
        <f t="shared" si="149"/>
        <v>0</v>
      </c>
      <c r="AE210" s="650">
        <f t="shared" si="150"/>
        <v>0.23234671264628612</v>
      </c>
      <c r="AF210" s="651">
        <f t="shared" si="151"/>
        <v>0.14313282764807322</v>
      </c>
      <c r="AG210" s="651">
        <f t="shared" si="152"/>
        <v>9.263578785218729E-2</v>
      </c>
      <c r="AH210" s="651">
        <f t="shared" si="165"/>
        <v>0</v>
      </c>
      <c r="AI210" s="651">
        <f>AB210/AC210</f>
        <v>0.53188467185345334</v>
      </c>
      <c r="AJ210" s="651">
        <f t="shared" si="154"/>
        <v>1</v>
      </c>
      <c r="AK210" s="1499">
        <f t="shared" si="155"/>
        <v>140.93721475377839</v>
      </c>
      <c r="AL210" s="1500">
        <f t="shared" si="156"/>
        <v>12760.999568460958</v>
      </c>
      <c r="AM210" s="1500">
        <f t="shared" si="157"/>
        <v>786.00488630833911</v>
      </c>
      <c r="AN210" s="1500">
        <f t="shared" si="158"/>
        <v>13687.941669523076</v>
      </c>
      <c r="AO210" s="1185">
        <f t="shared" si="159"/>
        <v>0</v>
      </c>
    </row>
    <row r="211" spans="1:41">
      <c r="I211" s="106"/>
    </row>
    <row r="212" spans="1:41">
      <c r="I212" s="106"/>
    </row>
    <row r="213" spans="1:41">
      <c r="I213" s="104"/>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900" t="s">
        <v>556</v>
      </c>
      <c r="B4" s="1896" t="s">
        <v>557</v>
      </c>
      <c r="C4" s="579">
        <v>0.5</v>
      </c>
      <c r="D4" s="116">
        <f>2017+10</f>
        <v>2027</v>
      </c>
      <c r="E4" s="579">
        <f>C4</f>
        <v>0.5</v>
      </c>
      <c r="F4" s="116">
        <f>2017+5</f>
        <v>2022</v>
      </c>
      <c r="G4" s="579">
        <f>E4</f>
        <v>0.5</v>
      </c>
      <c r="H4" s="116">
        <f>F4</f>
        <v>2022</v>
      </c>
      <c r="J4" s="99"/>
      <c r="K4" s="99"/>
    </row>
    <row r="5" spans="1:11">
      <c r="A5" s="1850"/>
      <c r="B5" s="1876"/>
      <c r="C5" s="575">
        <v>0.65</v>
      </c>
      <c r="D5" s="130">
        <f>2017+20</f>
        <v>2037</v>
      </c>
      <c r="E5" s="575">
        <f t="shared" ref="E5:E6" si="0">C5</f>
        <v>0.65</v>
      </c>
      <c r="F5" s="130">
        <f>2017+10</f>
        <v>2027</v>
      </c>
      <c r="G5" s="575">
        <f t="shared" ref="G5:H6" si="1">E5</f>
        <v>0.65</v>
      </c>
      <c r="H5" s="130">
        <f t="shared" si="1"/>
        <v>2027</v>
      </c>
      <c r="J5" s="99"/>
      <c r="K5" s="99"/>
    </row>
    <row r="6" spans="1:11" ht="15.75" thickBot="1">
      <c r="A6" s="1851"/>
      <c r="B6" s="1877"/>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78" t="s">
        <v>574</v>
      </c>
      <c r="B8" s="1702" t="s">
        <v>485</v>
      </c>
      <c r="C8" s="1703"/>
      <c r="D8" s="1703"/>
      <c r="E8" s="1703"/>
      <c r="F8" s="1704"/>
      <c r="G8" s="1702" t="s">
        <v>532</v>
      </c>
      <c r="H8" s="1703"/>
      <c r="I8" s="1704"/>
      <c r="J8" s="327"/>
      <c r="K8" s="99"/>
    </row>
    <row r="9" spans="1:11" ht="32.25" thickBot="1">
      <c r="A9" s="1879"/>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50" t="s">
        <v>560</v>
      </c>
      <c r="B26" s="1876" t="s">
        <v>557</v>
      </c>
      <c r="C26" s="575">
        <v>0.25</v>
      </c>
      <c r="D26" s="104">
        <f>2017+5</f>
        <v>2022</v>
      </c>
      <c r="E26" s="1905">
        <v>0.5</v>
      </c>
      <c r="F26" s="1907">
        <f>2017+5</f>
        <v>2022</v>
      </c>
      <c r="G26" s="1874">
        <f>E26</f>
        <v>0.5</v>
      </c>
      <c r="H26" s="1907">
        <f>F26</f>
        <v>2022</v>
      </c>
    </row>
    <row r="27" spans="1:11" ht="15.75" thickBot="1">
      <c r="A27" s="1851"/>
      <c r="B27" s="1877"/>
      <c r="C27" s="577">
        <v>0.5</v>
      </c>
      <c r="D27" s="163">
        <f>2017+10</f>
        <v>2027</v>
      </c>
      <c r="E27" s="1906"/>
      <c r="F27" s="1908"/>
      <c r="G27" s="1875"/>
      <c r="H27" s="1908"/>
    </row>
    <row r="28" spans="1:11" ht="15.75" thickBot="1">
      <c r="A28" s="727"/>
      <c r="B28" s="727"/>
      <c r="C28" s="576"/>
      <c r="D28" s="104"/>
      <c r="E28" s="576"/>
      <c r="F28" s="104"/>
      <c r="G28" s="576"/>
      <c r="H28" s="104"/>
    </row>
    <row r="29" spans="1:11">
      <c r="A29" s="594"/>
      <c r="B29" s="600"/>
      <c r="C29" s="1902" t="s">
        <v>551</v>
      </c>
      <c r="D29" s="1903"/>
      <c r="E29" s="1902" t="s">
        <v>552</v>
      </c>
      <c r="F29" s="1903"/>
      <c r="G29" s="1904" t="s">
        <v>553</v>
      </c>
      <c r="H29" s="1903"/>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5" t="s">
        <v>551</v>
      </c>
      <c r="B36" s="990">
        <v>2030</v>
      </c>
      <c r="C36" s="608">
        <f>C35</f>
        <v>0</v>
      </c>
      <c r="D36" s="604">
        <f>D35</f>
        <v>0</v>
      </c>
      <c r="E36" s="604">
        <f>1-F36-G36</f>
        <v>0.7</v>
      </c>
      <c r="F36" s="604">
        <f>F35/2</f>
        <v>0.15</v>
      </c>
      <c r="G36" s="605">
        <f>G35/2</f>
        <v>0.15</v>
      </c>
      <c r="H36" t="s">
        <v>565</v>
      </c>
    </row>
    <row r="37" spans="1:24">
      <c r="A37" s="1855"/>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901" t="s">
        <v>6</v>
      </c>
      <c r="D42" s="1868"/>
      <c r="E42" s="1868"/>
      <c r="F42" s="1868"/>
      <c r="G42" s="1868"/>
      <c r="H42" s="1868"/>
      <c r="I42" s="1869"/>
      <c r="J42" s="1867" t="s">
        <v>298</v>
      </c>
      <c r="K42" s="1868"/>
      <c r="L42" s="1868"/>
      <c r="M42" s="1868"/>
      <c r="N42" s="1868"/>
      <c r="O42" s="1868"/>
      <c r="P42" s="1869"/>
      <c r="Q42" s="1852" t="s">
        <v>299</v>
      </c>
      <c r="R42" s="1852"/>
      <c r="S42" s="1852"/>
      <c r="T42" s="1852"/>
      <c r="U42" s="1852"/>
      <c r="V42" s="1852"/>
      <c r="W42" s="1853"/>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7"/>
      <c r="J56" s="334"/>
      <c r="K56" s="334"/>
      <c r="L56" s="334"/>
      <c r="M56" s="334"/>
      <c r="N56" s="334"/>
      <c r="O56" s="1331"/>
      <c r="P56" s="1331"/>
      <c r="Q56" s="198"/>
      <c r="R56" s="286"/>
      <c r="S56" s="286"/>
      <c r="T56" s="104"/>
      <c r="U56" s="104"/>
      <c r="V56" s="104"/>
      <c r="W56" s="620"/>
      <c r="X56" s="104"/>
      <c r="Y56" s="314"/>
      <c r="Z56" s="314"/>
      <c r="AA56" s="314"/>
    </row>
    <row r="57" spans="1:28" ht="16.5" thickBot="1">
      <c r="A57" s="337"/>
      <c r="B57" s="614" t="s">
        <v>593</v>
      </c>
      <c r="C57" s="614">
        <v>56521948</v>
      </c>
      <c r="D57" s="1348"/>
      <c r="E57" s="1348"/>
      <c r="F57" s="1348"/>
      <c r="G57" s="1348"/>
      <c r="H57" s="1348"/>
      <c r="I57" s="1348"/>
      <c r="J57" s="334"/>
      <c r="K57" s="334"/>
      <c r="L57" s="334"/>
      <c r="M57" s="334"/>
      <c r="N57" s="334"/>
      <c r="O57" s="1331"/>
      <c r="P57" s="1331"/>
      <c r="Q57" s="7"/>
      <c r="R57" s="10"/>
      <c r="S57" s="10"/>
      <c r="W57" s="313"/>
      <c r="Y57" s="314"/>
      <c r="Z57" s="314"/>
      <c r="AA57" s="314"/>
    </row>
    <row r="58" spans="1:28" ht="16.5" thickBot="1">
      <c r="A58" s="1305" t="s">
        <v>749</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c r="O58" s="1341"/>
      <c r="P58" s="1341"/>
      <c r="Q58" s="7"/>
      <c r="R58" s="10"/>
      <c r="S58" s="10"/>
      <c r="W58" s="313"/>
      <c r="X58" s="315"/>
      <c r="Y58" s="313"/>
      <c r="Z58" s="313"/>
      <c r="AA58" s="313"/>
    </row>
    <row r="59" spans="1:28">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O59" s="1350"/>
      <c r="P59" s="1350"/>
      <c r="Q59" s="1351"/>
      <c r="R59" s="10"/>
      <c r="S59" s="10"/>
      <c r="W59" s="314"/>
      <c r="Y59" s="314"/>
      <c r="Z59" s="314"/>
      <c r="AA59" s="314"/>
    </row>
    <row r="60" spans="1:28" ht="15.75">
      <c r="A60" s="1311" t="s">
        <v>334</v>
      </c>
      <c r="B60" s="1308" t="s">
        <v>335</v>
      </c>
      <c r="C60" s="1312">
        <f>'Input data'!C14</f>
        <v>964286</v>
      </c>
      <c r="D60" s="1349">
        <f>'Input data'!D14</f>
        <v>964286</v>
      </c>
      <c r="E60" s="1349">
        <f>'Input data'!E14</f>
        <v>0</v>
      </c>
      <c r="F60" s="1349">
        <f>'Input data'!F14</f>
        <v>0</v>
      </c>
      <c r="G60" s="1349">
        <f>'Input data'!G14</f>
        <v>0</v>
      </c>
      <c r="H60" s="1349">
        <f>'Input data'!H14</f>
        <v>0</v>
      </c>
      <c r="I60" s="1349">
        <f>'Input data'!I14</f>
        <v>2892858</v>
      </c>
      <c r="J60" s="1349">
        <f>'Input data'!J14</f>
        <v>0</v>
      </c>
      <c r="K60" s="1349">
        <f>'Input data'!K14</f>
        <v>0</v>
      </c>
      <c r="L60" s="1349">
        <f>'Input data'!L14</f>
        <v>0</v>
      </c>
      <c r="M60" s="1349">
        <f>'Input data'!M14</f>
        <v>0</v>
      </c>
      <c r="N60" s="1324">
        <f>'Input data'!N14</f>
        <v>4821430</v>
      </c>
      <c r="O60" s="1350"/>
      <c r="P60" s="1350"/>
      <c r="Q60" s="7"/>
      <c r="R60" s="10"/>
      <c r="S60" s="10"/>
      <c r="W60" s="313"/>
      <c r="Y60" s="314"/>
      <c r="Z60" s="314"/>
      <c r="AA60" s="314"/>
    </row>
    <row r="61" spans="1:28" ht="15.75">
      <c r="A61" s="1311" t="s">
        <v>336</v>
      </c>
      <c r="B61" s="1308" t="s">
        <v>337</v>
      </c>
      <c r="C61" s="1312">
        <f>'Input data'!C15</f>
        <v>72176.800000000003</v>
      </c>
      <c r="D61" s="1349">
        <f>'Input data'!D15</f>
        <v>72176.800000000003</v>
      </c>
      <c r="E61" s="1349">
        <f>'Input data'!E15</f>
        <v>0</v>
      </c>
      <c r="F61" s="1349">
        <f>'Input data'!F15</f>
        <v>0</v>
      </c>
      <c r="G61" s="1349">
        <f>'Input data'!G15</f>
        <v>0</v>
      </c>
      <c r="H61" s="1349">
        <f>'Input data'!H15</f>
        <v>0</v>
      </c>
      <c r="I61" s="1349">
        <f>'Input data'!I15</f>
        <v>216530.4</v>
      </c>
      <c r="J61" s="1349">
        <f>'Input data'!J15</f>
        <v>0</v>
      </c>
      <c r="K61" s="1349">
        <f>'Input data'!K15</f>
        <v>0</v>
      </c>
      <c r="L61" s="1349">
        <f>'Input data'!L15</f>
        <v>0</v>
      </c>
      <c r="M61" s="1349">
        <f>'Input data'!M15</f>
        <v>0</v>
      </c>
      <c r="N61" s="1324">
        <f>'Input data'!N15</f>
        <v>360884</v>
      </c>
      <c r="O61" s="1350"/>
      <c r="P61" s="1350"/>
      <c r="Q61" s="7"/>
      <c r="R61" s="10"/>
      <c r="S61" s="10"/>
      <c r="W61" s="313"/>
      <c r="Y61" s="314"/>
      <c r="Z61" s="314"/>
      <c r="AA61" s="313"/>
    </row>
    <row r="62" spans="1:28" ht="15.75">
      <c r="A62" s="1311" t="s">
        <v>338</v>
      </c>
      <c r="B62" s="1308" t="s">
        <v>339</v>
      </c>
      <c r="C62" s="1312">
        <f>'Input data'!C16</f>
        <v>0</v>
      </c>
      <c r="D62" s="1349">
        <f>'Input data'!D16</f>
        <v>0</v>
      </c>
      <c r="E62" s="1349">
        <f>'Input data'!E16</f>
        <v>520349.97572976683</v>
      </c>
      <c r="F62" s="1349">
        <f>'Input data'!F16</f>
        <v>0</v>
      </c>
      <c r="G62" s="1349">
        <f>'Input data'!G16</f>
        <v>0</v>
      </c>
      <c r="H62" s="1349">
        <f>'Input data'!H16</f>
        <v>0</v>
      </c>
      <c r="I62" s="1349">
        <f>'Input data'!I16</f>
        <v>0</v>
      </c>
      <c r="J62" s="1349">
        <f>'Input data'!J16</f>
        <v>237880.00199999998</v>
      </c>
      <c r="K62" s="1349">
        <f>'Input data'!K16</f>
        <v>465419.88531509798</v>
      </c>
      <c r="L62" s="1349">
        <f>'Input data'!L16</f>
        <v>409141.02549420868</v>
      </c>
      <c r="M62" s="1349">
        <f>'Input data'!M16</f>
        <v>123895.58799999999</v>
      </c>
      <c r="N62" s="1324">
        <f>'Input data'!N16</f>
        <v>1756686.4765390735</v>
      </c>
      <c r="O62" s="614"/>
      <c r="P62" s="614"/>
      <c r="Q62" s="10"/>
      <c r="R62" s="10"/>
      <c r="S62" s="10"/>
      <c r="W62" s="312"/>
      <c r="Y62" s="312"/>
      <c r="Z62" s="312"/>
      <c r="AA62" s="312"/>
      <c r="AB62" s="312"/>
    </row>
    <row r="63" spans="1:28" ht="15.75">
      <c r="A63" s="1311" t="s">
        <v>338</v>
      </c>
      <c r="B63" s="1308" t="s">
        <v>340</v>
      </c>
      <c r="C63" s="1312">
        <f>'Input data'!C17</f>
        <v>0</v>
      </c>
      <c r="D63" s="1349">
        <f>'Input data'!D17</f>
        <v>0</v>
      </c>
      <c r="E63" s="1349">
        <f>'Input data'!E17</f>
        <v>1241029.48</v>
      </c>
      <c r="F63" s="1349">
        <f>'Input data'!F17</f>
        <v>0</v>
      </c>
      <c r="G63" s="1349">
        <f>'Input data'!G17</f>
        <v>0</v>
      </c>
      <c r="H63" s="1349">
        <f>'Input data'!H17</f>
        <v>0</v>
      </c>
      <c r="I63" s="1349">
        <f>'Input data'!I17</f>
        <v>0</v>
      </c>
      <c r="J63" s="1349">
        <f>'Input data'!J17</f>
        <v>480373.99800000002</v>
      </c>
      <c r="K63" s="1349">
        <f>'Input data'!K17</f>
        <v>1987194.1360000002</v>
      </c>
      <c r="L63" s="1349">
        <f>'Input data'!L17</f>
        <v>2826447.2</v>
      </c>
      <c r="M63" s="1349">
        <f>'Input data'!M17</f>
        <v>38271.412000000004</v>
      </c>
      <c r="N63" s="1324">
        <f>'Input data'!N17</f>
        <v>6573316.2259999998</v>
      </c>
      <c r="O63" s="614"/>
      <c r="P63" s="614"/>
      <c r="Q63" s="10"/>
      <c r="R63" s="10"/>
      <c r="S63" s="10"/>
      <c r="W63" s="312"/>
      <c r="Y63" s="312"/>
      <c r="Z63" s="312"/>
      <c r="AA63" s="312"/>
      <c r="AB63" s="312"/>
    </row>
    <row r="64" spans="1:28" ht="15.75">
      <c r="A64" s="1311" t="s">
        <v>341</v>
      </c>
      <c r="B64" s="1308" t="s">
        <v>342</v>
      </c>
      <c r="C64" s="1312">
        <f>'Input data'!C18</f>
        <v>2500000</v>
      </c>
      <c r="D64" s="1349">
        <f>'Input data'!D18</f>
        <v>4200000</v>
      </c>
      <c r="E64" s="1349">
        <f>'Input data'!E18</f>
        <v>0</v>
      </c>
      <c r="F64" s="1349">
        <f>'Input data'!F18</f>
        <v>0</v>
      </c>
      <c r="G64" s="1349">
        <f>'Input data'!G18</f>
        <v>0</v>
      </c>
      <c r="H64" s="1349">
        <f>'Input data'!H18</f>
        <v>0</v>
      </c>
      <c r="I64" s="1349">
        <f>'Input data'!I18</f>
        <v>0</v>
      </c>
      <c r="J64" s="1349">
        <f>'Input data'!J18</f>
        <v>0</v>
      </c>
      <c r="K64" s="1349">
        <f>'Input data'!K18</f>
        <v>0</v>
      </c>
      <c r="L64" s="1349">
        <f>'Input data'!L18</f>
        <v>0</v>
      </c>
      <c r="M64" s="1349">
        <f>'Input data'!M18</f>
        <v>0</v>
      </c>
      <c r="N64" s="1324">
        <f>'Input data'!N18</f>
        <v>6700000</v>
      </c>
      <c r="O64" s="614"/>
      <c r="P64" s="614"/>
      <c r="Q64" s="10"/>
      <c r="R64" s="10"/>
      <c r="S64" s="10"/>
      <c r="W64" s="312"/>
      <c r="Y64" s="312"/>
      <c r="Z64" s="312"/>
      <c r="AA64" s="312"/>
      <c r="AB64" s="312"/>
    </row>
    <row r="65" spans="1:28" ht="15.75">
      <c r="A65" s="1313"/>
      <c r="B65" s="1314" t="s">
        <v>343</v>
      </c>
      <c r="C65" s="1312">
        <f>'Input data'!C19</f>
        <v>4770254.2119790548</v>
      </c>
      <c r="D65" s="1349">
        <f>'Input data'!D19</f>
        <v>6375347.1802883577</v>
      </c>
      <c r="E65" s="1349">
        <f>'Input data'!E19</f>
        <v>2139706</v>
      </c>
      <c r="F65" s="1349">
        <f>'Input data'!F19</f>
        <v>0</v>
      </c>
      <c r="G65" s="1349">
        <f>'Input data'!G19</f>
        <v>0</v>
      </c>
      <c r="H65" s="1349">
        <f>'Input data'!H19</f>
        <v>0</v>
      </c>
      <c r="I65" s="1349">
        <f>'Input data'!I19</f>
        <v>3109388.4</v>
      </c>
      <c r="J65" s="1349">
        <f>'Input data'!J19</f>
        <v>1099254</v>
      </c>
      <c r="K65" s="1349">
        <f>'Input data'!K19</f>
        <v>2791003</v>
      </c>
      <c r="L65" s="1349">
        <f>'Input data'!L19</f>
        <v>3533059</v>
      </c>
      <c r="M65" s="1349">
        <f>'Input data'!M19</f>
        <v>162167</v>
      </c>
      <c r="N65" s="1324">
        <f>'Input data'!N19</f>
        <v>23980178.792267412</v>
      </c>
      <c r="O65" s="615"/>
      <c r="P65" s="615"/>
      <c r="Q65" s="10"/>
      <c r="R65" s="10"/>
      <c r="S65" s="10"/>
      <c r="W65" s="312"/>
      <c r="Y65" s="312"/>
      <c r="Z65" s="312"/>
      <c r="AA65" s="312"/>
      <c r="AB65" s="312"/>
    </row>
    <row r="66" spans="1:28" ht="15.75">
      <c r="A66" s="1313"/>
      <c r="B66" s="1315" t="s">
        <v>496</v>
      </c>
      <c r="C66" s="1312">
        <f>'Input data'!C20</f>
        <v>2674712.2259895275</v>
      </c>
      <c r="D66" s="1349">
        <f>'Input data'!D20</f>
        <v>3392258.7101441789</v>
      </c>
      <c r="E66" s="1349">
        <f>'Input data'!E20</f>
        <v>657478.25029190676</v>
      </c>
      <c r="F66" s="1349">
        <f>'Input data'!F20</f>
        <v>0</v>
      </c>
      <c r="G66" s="1349">
        <f>'Input data'!G20</f>
        <v>0</v>
      </c>
      <c r="H66" s="1349">
        <f>'Input data'!H20</f>
        <v>0</v>
      </c>
      <c r="I66" s="1349">
        <f>'Input data'!I20</f>
        <v>2798449.56</v>
      </c>
      <c r="J66" s="1349">
        <f>'Input data'!J20</f>
        <v>404592.00179999997</v>
      </c>
      <c r="K66" s="1349">
        <f>'Input data'!K20</f>
        <v>588072.38612603908</v>
      </c>
      <c r="L66" s="1349">
        <f>'Input data'!L20</f>
        <v>516962.3101976834</v>
      </c>
      <c r="M66" s="1349">
        <f>'Input data'!M20</f>
        <v>111506.02919999999</v>
      </c>
      <c r="N66" s="1324">
        <f>'Input data'!N20</f>
        <v>11144031.473749338</v>
      </c>
      <c r="O66" s="615"/>
      <c r="P66" s="615"/>
      <c r="Q66" s="10"/>
      <c r="R66" s="10"/>
      <c r="S66" s="10"/>
      <c r="W66" s="312"/>
      <c r="Y66" s="312"/>
      <c r="Z66" s="312"/>
      <c r="AA66" s="312"/>
      <c r="AB66" s="312"/>
    </row>
    <row r="67" spans="1:28" ht="16.5" thickBot="1">
      <c r="A67" s="1313"/>
      <c r="B67" s="1315" t="s">
        <v>744</v>
      </c>
      <c r="C67" s="1312">
        <f>'Input data'!C21</f>
        <v>845541.98598952731</v>
      </c>
      <c r="D67" s="1349">
        <f>'Input data'!D21</f>
        <v>883088.47014417872</v>
      </c>
      <c r="E67" s="1349">
        <f>'Input data'!E21</f>
        <v>241198.26970809326</v>
      </c>
      <c r="F67" s="1349">
        <f>'Input data'!F21</f>
        <v>0</v>
      </c>
      <c r="G67" s="1349">
        <f>'Input data'!G21</f>
        <v>0</v>
      </c>
      <c r="H67" s="1349">
        <f>'Input data'!H21</f>
        <v>0</v>
      </c>
      <c r="I67" s="1349">
        <f>'Input data'!I21</f>
        <v>310938.83999999985</v>
      </c>
      <c r="J67" s="1349">
        <f>'Input data'!J21</f>
        <v>214288.00020000001</v>
      </c>
      <c r="K67" s="1349">
        <f>'Input data'!K21</f>
        <v>215736.47787396074</v>
      </c>
      <c r="L67" s="1349">
        <f>'Input data'!L21</f>
        <v>189649.4898023163</v>
      </c>
      <c r="M67" s="1349">
        <f>'Input data'!M21</f>
        <v>12389.558800000006</v>
      </c>
      <c r="N67" s="1324">
        <f>'Input data'!N21</f>
        <v>2912831.0925180763</v>
      </c>
      <c r="O67" s="615"/>
      <c r="P67" s="615"/>
      <c r="Q67" s="10"/>
      <c r="R67" s="10"/>
      <c r="S67" s="10"/>
      <c r="W67" s="312"/>
      <c r="Y67" s="312"/>
      <c r="Z67" s="312"/>
      <c r="AA67" s="312"/>
      <c r="AB67" s="312"/>
    </row>
    <row r="68" spans="1:28"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O68" s="616"/>
      <c r="P68" s="616"/>
      <c r="Q68" s="10"/>
      <c r="R68" s="10"/>
      <c r="S68" s="10"/>
      <c r="W68" s="312"/>
      <c r="Y68" s="312"/>
      <c r="Z68" s="312"/>
      <c r="AA68" s="312"/>
      <c r="AB68" s="312"/>
    </row>
    <row r="69" spans="1:28" ht="15.75">
      <c r="A69" s="1313"/>
      <c r="B69" s="1317"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1" t="s">
        <v>334</v>
      </c>
      <c r="B70" s="1317"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1" t="s">
        <v>336</v>
      </c>
      <c r="B71" s="1317"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1" t="s">
        <v>338</v>
      </c>
      <c r="B72" s="1317"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1" t="s">
        <v>338</v>
      </c>
      <c r="B73" s="1317"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1" t="s">
        <v>341</v>
      </c>
      <c r="B74" s="1317"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3"/>
      <c r="B75" s="1315"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3"/>
      <c r="B76" s="1315"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18"/>
      <c r="B77" s="1319"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O78" s="339"/>
      <c r="P78" s="339"/>
      <c r="Q78" s="7"/>
      <c r="R78" s="338"/>
      <c r="S78" s="338"/>
      <c r="T78" s="4"/>
      <c r="U78" s="4"/>
      <c r="Y78" s="745"/>
    </row>
    <row r="79" spans="1:28"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O79" s="339"/>
      <c r="P79" s="339"/>
      <c r="Q79" s="7"/>
      <c r="R79" s="338"/>
      <c r="S79" s="338"/>
      <c r="T79" s="4"/>
      <c r="U79" s="4"/>
      <c r="Y79" s="745"/>
    </row>
    <row r="80" spans="1:28" ht="16.5" thickBot="1">
      <c r="A80" s="1318"/>
      <c r="B80" s="1318" t="s">
        <v>374</v>
      </c>
      <c r="C80" s="1325">
        <f t="shared" ref="C80:H80" si="9">C79/$C$79</f>
        <v>1</v>
      </c>
      <c r="D80" s="1326">
        <f t="shared" si="9"/>
        <v>0</v>
      </c>
      <c r="E80" s="1326">
        <f t="shared" si="9"/>
        <v>0.93845226140483384</v>
      </c>
      <c r="F80" s="1326">
        <f t="shared" si="9"/>
        <v>0</v>
      </c>
      <c r="G80" s="1326">
        <f t="shared" si="9"/>
        <v>0</v>
      </c>
      <c r="H80" s="1327">
        <f t="shared" si="9"/>
        <v>6.154773859516615E-2</v>
      </c>
      <c r="L80" s="1322"/>
      <c r="M80" s="1322"/>
      <c r="N80" s="1322"/>
      <c r="O80" s="339"/>
      <c r="P80" s="339"/>
      <c r="Q80" s="7"/>
      <c r="R80" s="338"/>
      <c r="S80" s="338"/>
      <c r="T80" s="4"/>
      <c r="U80" s="4"/>
      <c r="Y80" s="745"/>
    </row>
    <row r="81" spans="1:91" s="4" customFormat="1" ht="15.75">
      <c r="A81" s="99"/>
      <c r="B81" s="99"/>
      <c r="C81" s="1332"/>
      <c r="D81" s="1332"/>
      <c r="E81" s="1332"/>
      <c r="F81" s="1332"/>
      <c r="G81" s="1332"/>
      <c r="H81" s="1332"/>
      <c r="L81" s="1394"/>
      <c r="M81" s="1394"/>
      <c r="N81" s="1394"/>
      <c r="O81" s="1332"/>
      <c r="P81" s="1332"/>
      <c r="Q81" s="7"/>
      <c r="R81" s="1395"/>
      <c r="S81" s="1395"/>
      <c r="Y81" s="1396"/>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23" t="s">
        <v>602</v>
      </c>
      <c r="B94" s="1824"/>
      <c r="C94" s="1824"/>
      <c r="D94" s="1825"/>
      <c r="E94" s="1857" t="s">
        <v>600</v>
      </c>
      <c r="F94" s="1858"/>
      <c r="G94" s="1859"/>
      <c r="H94" s="1931" t="s">
        <v>601</v>
      </c>
      <c r="I94" s="1932"/>
      <c r="J94" s="1932"/>
      <c r="K94" s="1933"/>
      <c r="L94" s="1831" t="s">
        <v>598</v>
      </c>
      <c r="M94" s="1923"/>
      <c r="N94" s="1923"/>
      <c r="O94" s="1923"/>
      <c r="P94" s="1924"/>
      <c r="Q94" s="1922" t="s">
        <v>782</v>
      </c>
      <c r="R94" s="1923"/>
      <c r="S94" s="1923"/>
      <c r="T94" s="1923"/>
      <c r="U94" s="1924"/>
      <c r="V94" s="1915" t="s">
        <v>599</v>
      </c>
      <c r="W94" s="1780" t="s">
        <v>608</v>
      </c>
      <c r="X94" s="1782"/>
      <c r="Y94" s="1865" t="s">
        <v>594</v>
      </c>
      <c r="Z94" s="1845" t="s">
        <v>770</v>
      </c>
      <c r="AA94" s="1917" t="s">
        <v>778</v>
      </c>
      <c r="AB94" s="1838" t="s">
        <v>780</v>
      </c>
      <c r="AC94" s="1847" t="s">
        <v>788</v>
      </c>
      <c r="AD94" s="1838" t="s">
        <v>780</v>
      </c>
      <c r="AE94" s="1838" t="s">
        <v>779</v>
      </c>
      <c r="AF94" s="1894" t="s">
        <v>781</v>
      </c>
      <c r="AG94" s="1886" t="s">
        <v>609</v>
      </c>
      <c r="AH94" s="1886"/>
      <c r="AI94" s="1886"/>
      <c r="AJ94" s="1886"/>
      <c r="AK94" s="1886"/>
      <c r="AL94" s="1886"/>
      <c r="AM94" s="1887"/>
      <c r="AN94" s="1887"/>
      <c r="AO94" s="1887"/>
      <c r="AP94" s="1887"/>
      <c r="AQ94" s="1887"/>
      <c r="AR94" s="1870" t="s">
        <v>612</v>
      </c>
      <c r="AS94" s="1871"/>
      <c r="AT94" s="1871"/>
      <c r="AU94" s="1871"/>
      <c r="AV94" s="1871"/>
      <c r="AW94" s="1871"/>
      <c r="AX94" s="1871"/>
      <c r="AY94" s="1871"/>
      <c r="AZ94" s="1871"/>
      <c r="BA94" s="1871"/>
      <c r="BB94" s="1871"/>
      <c r="BC94" s="1836" t="s">
        <v>225</v>
      </c>
      <c r="BD94" s="1806" t="s">
        <v>616</v>
      </c>
      <c r="BE94" s="1872" t="s">
        <v>610</v>
      </c>
      <c r="BF94" s="1872"/>
      <c r="BG94" s="1872"/>
      <c r="BH94" s="1872"/>
      <c r="BI94" s="1872"/>
      <c r="BJ94" s="1872"/>
      <c r="BK94" s="1872"/>
      <c r="BL94" s="1873"/>
      <c r="BM94" s="1713" t="s">
        <v>741</v>
      </c>
      <c r="BN94" s="1714"/>
      <c r="BO94" s="1714"/>
      <c r="BP94" s="1714"/>
      <c r="BQ94" s="1714"/>
      <c r="BR94" s="1714"/>
      <c r="BS94" s="1714"/>
      <c r="BT94" s="1715"/>
      <c r="BV94" s="1792" t="s">
        <v>660</v>
      </c>
      <c r="BW94" s="1793"/>
      <c r="BX94" s="1812"/>
      <c r="BY94" s="1792" t="s">
        <v>656</v>
      </c>
      <c r="BZ94" s="1793"/>
      <c r="CA94" s="1794"/>
      <c r="CB94" s="1811" t="s">
        <v>661</v>
      </c>
      <c r="CC94" s="1810"/>
      <c r="CD94" s="1811" t="s">
        <v>657</v>
      </c>
      <c r="CE94" s="1810"/>
      <c r="CG94" s="1801" t="s">
        <v>742</v>
      </c>
      <c r="CH94" s="1802"/>
      <c r="CI94" s="1802"/>
      <c r="CJ94" s="1802"/>
      <c r="CK94" s="1802"/>
      <c r="CL94" s="1802"/>
      <c r="CM94" s="1803"/>
    </row>
    <row r="95" spans="1:91" s="10" customFormat="1" ht="42.6" customHeight="1" thickBot="1">
      <c r="A95" s="1821"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2" t="s">
        <v>582</v>
      </c>
      <c r="V95" s="1916"/>
      <c r="W95" s="1595" t="s">
        <v>605</v>
      </c>
      <c r="X95" s="1596" t="s">
        <v>576</v>
      </c>
      <c r="Y95" s="1866"/>
      <c r="Z95" s="1846"/>
      <c r="AA95" s="1918"/>
      <c r="AB95" s="1839"/>
      <c r="AC95" s="1848"/>
      <c r="AD95" s="1839"/>
      <c r="AE95" s="1839"/>
      <c r="AF95" s="1895"/>
      <c r="AG95" s="1579" t="s">
        <v>473</v>
      </c>
      <c r="AH95" s="1580" t="s">
        <v>489</v>
      </c>
      <c r="AI95" s="1636" t="s">
        <v>814</v>
      </c>
      <c r="AJ95" s="1580" t="s">
        <v>377</v>
      </c>
      <c r="AK95" s="1580" t="s">
        <v>225</v>
      </c>
      <c r="AL95" s="713" t="s">
        <v>591</v>
      </c>
      <c r="AM95" s="1579" t="s">
        <v>473</v>
      </c>
      <c r="AN95" s="1580" t="s">
        <v>489</v>
      </c>
      <c r="AO95" s="1636" t="s">
        <v>814</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7"/>
      <c r="BD95" s="1807"/>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0" t="str">
        <f>D135</f>
        <v xml:space="preserve">Coal ash generated - ‘IRP realistic’ </v>
      </c>
      <c r="BY95" s="1098" t="s">
        <v>531</v>
      </c>
      <c r="BZ95" s="40" t="s">
        <v>624</v>
      </c>
      <c r="CA95" s="1099" t="s">
        <v>630</v>
      </c>
      <c r="CB95" s="1270" t="s">
        <v>267</v>
      </c>
      <c r="CC95" s="1271" t="s">
        <v>633</v>
      </c>
      <c r="CD95" s="1270" t="s">
        <v>267</v>
      </c>
      <c r="CE95" s="1271" t="s">
        <v>633</v>
      </c>
      <c r="CF95"/>
      <c r="CG95" s="1258" t="s">
        <v>87</v>
      </c>
      <c r="CH95" s="1259" t="s">
        <v>323</v>
      </c>
      <c r="CI95" s="1259" t="s">
        <v>324</v>
      </c>
      <c r="CJ95" s="1259" t="s">
        <v>325</v>
      </c>
      <c r="CK95" s="1260" t="s">
        <v>582</v>
      </c>
      <c r="CL95" s="1259" t="s">
        <v>303</v>
      </c>
      <c r="CM95" s="1804" t="s">
        <v>743</v>
      </c>
    </row>
    <row r="96" spans="1:91" ht="32.25" thickBot="1">
      <c r="A96" s="1856"/>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688" t="s">
        <v>229</v>
      </c>
      <c r="X96" s="554" t="s">
        <v>228</v>
      </c>
      <c r="Y96" s="1115" t="s">
        <v>228</v>
      </c>
      <c r="Z96" s="1116" t="s">
        <v>228</v>
      </c>
      <c r="AA96" s="1471" t="s">
        <v>228</v>
      </c>
      <c r="AB96" s="1840"/>
      <c r="AC96" s="1848"/>
      <c r="AD96" s="1840"/>
      <c r="AE96" s="1644" t="s">
        <v>28</v>
      </c>
      <c r="AF96" s="1645" t="s">
        <v>3</v>
      </c>
      <c r="AG96" s="191"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8"/>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67" t="s">
        <v>625</v>
      </c>
      <c r="BW96" s="1158" t="s">
        <v>229</v>
      </c>
      <c r="BX96" s="1161" t="s">
        <v>625</v>
      </c>
      <c r="BY96" s="67" t="s">
        <v>625</v>
      </c>
      <c r="BZ96" s="1158" t="s">
        <v>229</v>
      </c>
      <c r="CA96" s="68" t="s">
        <v>625</v>
      </c>
      <c r="CB96" s="1265" t="s">
        <v>229</v>
      </c>
      <c r="CC96" s="1266" t="s">
        <v>229</v>
      </c>
      <c r="CD96" s="1265" t="s">
        <v>229</v>
      </c>
      <c r="CE96" s="1266" t="s">
        <v>229</v>
      </c>
      <c r="CG96" s="1273" t="s">
        <v>227</v>
      </c>
      <c r="CH96" s="1274" t="s">
        <v>227</v>
      </c>
      <c r="CI96" s="1274" t="s">
        <v>227</v>
      </c>
      <c r="CJ96" s="1274" t="s">
        <v>227</v>
      </c>
      <c r="CK96" s="1274" t="s">
        <v>227</v>
      </c>
      <c r="CL96" s="1274" t="s">
        <v>227</v>
      </c>
      <c r="CM96" s="1804"/>
    </row>
    <row r="97" spans="1:91">
      <c r="A97" s="127">
        <f>'Input data'!A117</f>
        <v>2017</v>
      </c>
      <c r="B97" s="662">
        <f>'Input data'!B117</f>
        <v>56.521948041648095</v>
      </c>
      <c r="C97" s="236">
        <f>'Input data'!C117</f>
        <v>3117.5115237718705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7">
        <f>H97*$M$75*P97*B97-H97*$M$75*$P$97*B97</f>
        <v>0</v>
      </c>
      <c r="V97" s="528">
        <f>SUM(Q97:U97)</f>
        <v>0</v>
      </c>
      <c r="W97" s="708">
        <v>0</v>
      </c>
      <c r="X97" s="1467">
        <f>W97*($C$76+$D$76)*$B$10*$I$97</f>
        <v>0</v>
      </c>
      <c r="Y97" s="956">
        <f>X97+V97</f>
        <v>0</v>
      </c>
      <c r="Z97" s="957">
        <f>$J$97-Y97</f>
        <v>11144.031481960794</v>
      </c>
      <c r="AA97" s="1467">
        <f>Z97-J97</f>
        <v>0</v>
      </c>
      <c r="AB97" s="1091">
        <f>AA97/Z97</f>
        <v>0</v>
      </c>
      <c r="AC97" s="1489"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7">
        <f>SUM(AR97:BB97)</f>
        <v>11144.031481960794</v>
      </c>
      <c r="BD97" s="1156">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8">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236">
        <f>'Input data'!D118</f>
        <v>50359792.847133137</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108.79675618524169</v>
      </c>
      <c r="BW98" s="114">
        <f t="shared" ref="BW98:BW130" si="63">((AK98-AM98*AK98)+(AC138-AC138*AE138))/(AK98+AC138)</f>
        <v>0.31239939440446801</v>
      </c>
      <c r="BX98" s="1689">
        <f t="shared" si="24"/>
        <v>50.359792847133136</v>
      </c>
      <c r="BY98" s="527">
        <f t="shared" ref="BY98:BY130" si="64">(AK98+AC178)*1000/10^6</f>
        <v>108.79675618524169</v>
      </c>
      <c r="BZ98" s="417">
        <f t="shared" ref="BZ98:BZ130" si="65">((AK98-AM98*AK98)+(AC178-AC178*AE178))/(AK98+AC178)</f>
        <v>0.31239939440446801</v>
      </c>
      <c r="CA98" s="544">
        <f t="shared" si="25"/>
        <v>50.359792847133136</v>
      </c>
      <c r="CB98" s="649">
        <f t="shared" si="26"/>
        <v>2.3097802675159818E-2</v>
      </c>
      <c r="CC98" s="525">
        <f t="shared" ref="CC98:CC130" si="66">W178</f>
        <v>3.7534536819961217E-2</v>
      </c>
      <c r="CD98" s="417">
        <f t="shared" si="27"/>
        <v>2.3097802675159818E-2</v>
      </c>
      <c r="CE98" s="525">
        <f t="shared" ref="CE98:CE130" si="67">W178</f>
        <v>3.7534536819961217E-2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4454.6933079776372</v>
      </c>
      <c r="D99" s="1550">
        <f>'Input data'!D119</f>
        <v>53709279.804327965</v>
      </c>
      <c r="E99" s="1455">
        <f t="shared" ref="E99:E109" si="75">($E$110-$E$97)/($A$110-$A$97)+E98</f>
        <v>0.75867692307692314</v>
      </c>
      <c r="F99" s="1449">
        <f t="shared" ref="F99:F109" si="76">($F$110-$F$97)/($A$110-$A$97)+F98</f>
        <v>0.30196923076923077</v>
      </c>
      <c r="G99" s="1554">
        <f>B99*F99*'Input data'!$C$9</f>
        <v>539.43112442415634</v>
      </c>
      <c r="H99" s="1542">
        <f>'Input data'!I119</f>
        <v>424.26313389388866</v>
      </c>
      <c r="I99" s="1509">
        <f>'Input data'!K119</f>
        <v>24762.047773130591</v>
      </c>
      <c r="J99" s="1509">
        <f>J97*0.89</f>
        <v>9918.1880189451058</v>
      </c>
      <c r="K99" s="1511">
        <f t="shared" ref="K99:K130" si="77">I99*$B$10-J99</f>
        <v>1589.1923942165249</v>
      </c>
      <c r="L99" s="1504">
        <f t="shared" si="28"/>
        <v>0.59846153846153849</v>
      </c>
      <c r="M99" s="1504">
        <f t="shared" si="29"/>
        <v>0.46207692307692311</v>
      </c>
      <c r="N99" s="1504">
        <f t="shared" si="30"/>
        <v>0.74092307692307691</v>
      </c>
      <c r="O99" s="1504">
        <f t="shared" si="31"/>
        <v>0.81538461538461537</v>
      </c>
      <c r="P99" s="1504">
        <f t="shared" si="32"/>
        <v>0.23600000000000002</v>
      </c>
      <c r="Q99" s="1508">
        <f t="shared" si="33"/>
        <v>40.79022813076017</v>
      </c>
      <c r="R99" s="1509">
        <f t="shared" si="34"/>
        <v>28.464688971619694</v>
      </c>
      <c r="S99" s="1509">
        <f t="shared" si="35"/>
        <v>83.356397357562855</v>
      </c>
      <c r="T99" s="1509">
        <f t="shared" si="36"/>
        <v>56.126979831743938</v>
      </c>
      <c r="U99" s="1511">
        <f t="shared" si="37"/>
        <v>0</v>
      </c>
      <c r="V99" s="1509">
        <f t="shared" si="38"/>
        <v>208.73829429168666</v>
      </c>
      <c r="W99" s="1454">
        <v>0.1</v>
      </c>
      <c r="X99" s="530">
        <f t="shared" si="39"/>
        <v>606.6970940604142</v>
      </c>
      <c r="Y99" s="1508">
        <f t="shared" ref="Y99:Y130" si="78">X99+V99</f>
        <v>815.43538835210086</v>
      </c>
      <c r="Z99" s="1509">
        <f t="shared" ref="Z99:Z130" si="79">I99*$B$10-Y99</f>
        <v>10691.945024809529</v>
      </c>
      <c r="AA99" s="1511">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113.72124321998997</v>
      </c>
      <c r="BW99" s="114">
        <f t="shared" si="63"/>
        <v>0.3771653699625368</v>
      </c>
      <c r="BX99" s="1689">
        <f t="shared" si="24"/>
        <v>53.709279804327963</v>
      </c>
      <c r="BY99" s="527">
        <f t="shared" si="64"/>
        <v>113.72124321998997</v>
      </c>
      <c r="BZ99" s="417">
        <f t="shared" si="65"/>
        <v>0.3771653699625368</v>
      </c>
      <c r="CA99" s="544">
        <f t="shared" si="25"/>
        <v>53.709279804327963</v>
      </c>
      <c r="CB99" s="649">
        <f t="shared" si="26"/>
        <v>4.2261345922522509E-2</v>
      </c>
      <c r="CC99" s="525">
        <f t="shared" si="66"/>
        <v>0.16120779967237486</v>
      </c>
      <c r="CD99" s="417">
        <f t="shared" si="27"/>
        <v>4.2261345922522509E-2</v>
      </c>
      <c r="CE99" s="525">
        <f t="shared" si="67"/>
        <v>0.16120779967237486</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4168.5687090306074</v>
      </c>
      <c r="D100" s="1550">
        <f>'Input data'!D120</f>
        <v>50685422.165534832</v>
      </c>
      <c r="E100" s="1455">
        <f t="shared" si="75"/>
        <v>0.78061538461538471</v>
      </c>
      <c r="F100" s="1449">
        <f t="shared" si="76"/>
        <v>0.30815384615384617</v>
      </c>
      <c r="G100" s="1554">
        <f>B100*F100*'Input data'!$C$9</f>
        <v>559.3813349254624</v>
      </c>
      <c r="H100" s="1542">
        <f>'Input data'!I120</f>
        <v>424.26313389388866</v>
      </c>
      <c r="I100" s="1509">
        <f>'Input data'!K120</f>
        <v>25162.490686541139</v>
      </c>
      <c r="J100" s="1509">
        <f>J97*0.81</f>
        <v>9026.6655003882443</v>
      </c>
      <c r="K100" s="1511">
        <f t="shared" si="77"/>
        <v>2666.8081220502918</v>
      </c>
      <c r="L100" s="1504">
        <f t="shared" si="28"/>
        <v>0.60769230769230775</v>
      </c>
      <c r="M100" s="1504">
        <f t="shared" si="29"/>
        <v>0.47461538461538466</v>
      </c>
      <c r="N100" s="1504">
        <f t="shared" si="30"/>
        <v>0.75538461538461532</v>
      </c>
      <c r="O100" s="1504">
        <f t="shared" si="31"/>
        <v>0.82307692307692304</v>
      </c>
      <c r="P100" s="1504">
        <f t="shared" si="32"/>
        <v>0.23600000000000002</v>
      </c>
      <c r="Q100" s="1508">
        <f t="shared" si="33"/>
        <v>62.174809501571872</v>
      </c>
      <c r="R100" s="1509">
        <f t="shared" si="34"/>
        <v>43.387514496329516</v>
      </c>
      <c r="S100" s="1509">
        <f t="shared" si="35"/>
        <v>127.05661046635623</v>
      </c>
      <c r="T100" s="1509">
        <f t="shared" si="36"/>
        <v>85.551967685751606</v>
      </c>
      <c r="U100" s="1511">
        <f t="shared" si="37"/>
        <v>0</v>
      </c>
      <c r="V100" s="1509">
        <f t="shared" si="38"/>
        <v>318.17090215000923</v>
      </c>
      <c r="W100" s="1454">
        <f>($N$142-$N$137)/($A$102-$A$97)+W99</f>
        <v>0.2</v>
      </c>
      <c r="X100" s="530">
        <f t="shared" si="39"/>
        <v>1213.3941881208284</v>
      </c>
      <c r="Y100" s="1508">
        <f t="shared" si="78"/>
        <v>1531.5650902708376</v>
      </c>
      <c r="Z100" s="1509">
        <f t="shared" si="79"/>
        <v>10161.908532167698</v>
      </c>
      <c r="AA100" s="1511">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107.76458718195072</v>
      </c>
      <c r="BW100" s="114">
        <f t="shared" si="63"/>
        <v>0.4018180652136023</v>
      </c>
      <c r="BX100" s="1689">
        <f t="shared" si="24"/>
        <v>50.685422165534831</v>
      </c>
      <c r="BY100" s="527">
        <f t="shared" si="64"/>
        <v>107.76458718195072</v>
      </c>
      <c r="BZ100" s="417">
        <f t="shared" si="65"/>
        <v>0.4018180652136023</v>
      </c>
      <c r="CA100" s="544">
        <f t="shared" si="25"/>
        <v>50.685422165534831</v>
      </c>
      <c r="CB100" s="649">
        <f t="shared" si="26"/>
        <v>6.3097402659273327E-2</v>
      </c>
      <c r="CC100" s="525">
        <f t="shared" si="66"/>
        <v>0.1650958360902629</v>
      </c>
      <c r="CD100" s="417">
        <f t="shared" si="27"/>
        <v>6.3097402659273327E-2</v>
      </c>
      <c r="CE100" s="525">
        <f t="shared" si="67"/>
        <v>0.1650958360902629</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1">
        <f>'Input data'!B121</f>
        <v>59.991580449204264</v>
      </c>
      <c r="C101" s="1550">
        <f>'Input data'!C121</f>
        <v>4297.0962474291</v>
      </c>
      <c r="D101" s="1550">
        <f>'Input data'!D121</f>
        <v>50618072.007836998</v>
      </c>
      <c r="E101" s="1455">
        <f t="shared" si="75"/>
        <v>0.80255384615384628</v>
      </c>
      <c r="F101" s="1449">
        <f t="shared" si="76"/>
        <v>0.31433846153846157</v>
      </c>
      <c r="G101" s="1554">
        <f>B101*F101*'Input data'!$C$9</f>
        <v>577.1781389317141</v>
      </c>
      <c r="H101" s="1542">
        <f>'Input data'!I121</f>
        <v>424.26313389388866</v>
      </c>
      <c r="I101" s="1509">
        <f>'Input data'!K121</f>
        <v>25452.215928626742</v>
      </c>
      <c r="J101" s="1509">
        <f>J97*0.65</f>
        <v>7243.6204632745166</v>
      </c>
      <c r="K101" s="1511">
        <f t="shared" si="77"/>
        <v>4584.4938240444126</v>
      </c>
      <c r="L101" s="1504">
        <f t="shared" si="28"/>
        <v>0.61692307692307702</v>
      </c>
      <c r="M101" s="1504">
        <f t="shared" si="29"/>
        <v>0.48715384615384622</v>
      </c>
      <c r="N101" s="1504">
        <f t="shared" si="30"/>
        <v>0.76984615384615374</v>
      </c>
      <c r="O101" s="1504">
        <f t="shared" si="31"/>
        <v>0.8307692307692307</v>
      </c>
      <c r="P101" s="1504">
        <f t="shared" si="32"/>
        <v>0.23600000000000002</v>
      </c>
      <c r="Q101" s="1508">
        <f t="shared" si="33"/>
        <v>83.854267924368514</v>
      </c>
      <c r="R101" s="1509">
        <f t="shared" si="34"/>
        <v>58.51611439285017</v>
      </c>
      <c r="S101" s="1509">
        <f t="shared" si="35"/>
        <v>171.35941615291358</v>
      </c>
      <c r="T101" s="1509">
        <f t="shared" si="36"/>
        <v>115.38270365905373</v>
      </c>
      <c r="U101" s="1511">
        <f t="shared" si="37"/>
        <v>0</v>
      </c>
      <c r="V101" s="1509">
        <f t="shared" si="38"/>
        <v>429.112502129186</v>
      </c>
      <c r="W101" s="1454">
        <v>0.4</v>
      </c>
      <c r="X101" s="530">
        <f t="shared" si="39"/>
        <v>2426.7883762416568</v>
      </c>
      <c r="Y101" s="1508">
        <f t="shared" si="78"/>
        <v>2855.9008783708427</v>
      </c>
      <c r="Z101" s="1509">
        <f t="shared" si="79"/>
        <v>8972.213408948086</v>
      </c>
      <c r="AA101" s="1511">
        <f t="shared" si="80"/>
        <v>1728.5929456735694</v>
      </c>
      <c r="AB101" s="1091">
        <f t="shared" si="40"/>
        <v>0.19266070331648874</v>
      </c>
      <c r="AC101" s="135" t="str">
        <f t="shared" si="41"/>
        <v>Yes</v>
      </c>
      <c r="AD101" s="1091">
        <f t="shared" si="42"/>
        <v>0.19266070331648874</v>
      </c>
      <c r="AE101" s="649">
        <f t="shared" si="10"/>
        <v>9.726841017376453E-2</v>
      </c>
      <c r="AF101" s="530">
        <f t="shared" si="43"/>
        <v>382.99573336469109</v>
      </c>
      <c r="AG101" s="528">
        <f t="shared" si="44"/>
        <v>7243.6204632745166</v>
      </c>
      <c r="AH101" s="528">
        <f t="shared" si="81"/>
        <v>7405.9355442178767</v>
      </c>
      <c r="AI101" s="528">
        <f t="shared" si="82"/>
        <v>5830.9633715541659</v>
      </c>
      <c r="AJ101" s="528">
        <f t="shared" si="11"/>
        <v>2495.9999708032969</v>
      </c>
      <c r="AK101" s="528">
        <f t="shared" si="45"/>
        <v>22976.519349849852</v>
      </c>
      <c r="AL101" s="716">
        <f t="shared" si="12"/>
        <v>0</v>
      </c>
      <c r="AM101" s="417">
        <f t="shared" si="46"/>
        <v>0.31526187030246827</v>
      </c>
      <c r="AN101" s="417">
        <f t="shared" si="47"/>
        <v>0.32232625975466878</v>
      </c>
      <c r="AO101" s="417">
        <f t="shared" si="48"/>
        <v>0.25377922925442015</v>
      </c>
      <c r="AP101" s="417">
        <f t="shared" si="49"/>
        <v>0.108632640688443</v>
      </c>
      <c r="AQ101" s="417">
        <f t="shared" si="50"/>
        <v>1.0000000000000002</v>
      </c>
      <c r="AR101" s="1086">
        <f t="shared" si="13"/>
        <v>1428.1962066120468</v>
      </c>
      <c r="AS101" s="938">
        <f t="shared" si="14"/>
        <v>1811.3391693501608</v>
      </c>
      <c r="AT101" s="938">
        <f t="shared" si="15"/>
        <v>495.69314011643525</v>
      </c>
      <c r="AU101" s="938">
        <f t="shared" si="16"/>
        <v>0</v>
      </c>
      <c r="AV101" s="938">
        <f t="shared" si="17"/>
        <v>0</v>
      </c>
      <c r="AW101" s="938">
        <f t="shared" si="18"/>
        <v>0</v>
      </c>
      <c r="AX101" s="938">
        <f t="shared" si="19"/>
        <v>2397.9866316299795</v>
      </c>
      <c r="AY101" s="938">
        <f t="shared" si="20"/>
        <v>299.45183426330141</v>
      </c>
      <c r="AZ101" s="938">
        <f t="shared" si="21"/>
        <v>365.5730292421627</v>
      </c>
      <c r="BA101" s="938">
        <f t="shared" si="22"/>
        <v>349.83112675197412</v>
      </c>
      <c r="BB101" s="938">
        <f t="shared" si="23"/>
        <v>95.549325308454769</v>
      </c>
      <c r="BC101" s="530">
        <f t="shared" si="51"/>
        <v>7243.6204632745166</v>
      </c>
      <c r="BD101" s="724">
        <f t="shared" si="52"/>
        <v>0</v>
      </c>
      <c r="BE101" s="436">
        <f t="shared" si="53"/>
        <v>0.19716607376836848</v>
      </c>
      <c r="BF101" s="624">
        <f t="shared" si="54"/>
        <v>0.2500599221803147</v>
      </c>
      <c r="BG101" s="624">
        <f t="shared" si="55"/>
        <v>6.8431683110624295E-2</v>
      </c>
      <c r="BH101" s="624">
        <f t="shared" si="56"/>
        <v>0</v>
      </c>
      <c r="BI101" s="624">
        <f t="shared" si="57"/>
        <v>0</v>
      </c>
      <c r="BJ101" s="624">
        <f t="shared" si="58"/>
        <v>0</v>
      </c>
      <c r="BK101" s="624">
        <f t="shared" si="59"/>
        <v>0.48434232094069229</v>
      </c>
      <c r="BL101" s="624">
        <f t="shared" si="60"/>
        <v>0.99999999999999978</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98.4841732303519</v>
      </c>
      <c r="BW101" s="114">
        <f t="shared" si="63"/>
        <v>0.47474371574170848</v>
      </c>
      <c r="BX101" s="1689">
        <f t="shared" si="24"/>
        <v>50.618072007837</v>
      </c>
      <c r="BY101" s="527">
        <f t="shared" si="64"/>
        <v>98.4841732303519</v>
      </c>
      <c r="BZ101" s="417">
        <f t="shared" si="65"/>
        <v>0.47474371574170848</v>
      </c>
      <c r="CA101" s="544">
        <f t="shared" si="25"/>
        <v>50.618072007837</v>
      </c>
      <c r="CB101" s="649">
        <f t="shared" si="26"/>
        <v>9.726841017376453E-2</v>
      </c>
      <c r="CC101" s="525">
        <f t="shared" si="66"/>
        <v>0.26201975525146737</v>
      </c>
      <c r="CD101" s="417">
        <f t="shared" si="27"/>
        <v>9.726841017376453E-2</v>
      </c>
      <c r="CE101" s="525">
        <f t="shared" si="67"/>
        <v>0.26201975525146737</v>
      </c>
      <c r="CG101" s="527">
        <f t="shared" si="68"/>
        <v>1401.0650599029839</v>
      </c>
      <c r="CH101" s="528">
        <f t="shared" si="69"/>
        <v>568.37814792932511</v>
      </c>
      <c r="CI101" s="528">
        <f t="shared" si="70"/>
        <v>2280.5386128435684</v>
      </c>
      <c r="CJ101" s="528">
        <f t="shared" si="71"/>
        <v>3115.3329987944608</v>
      </c>
      <c r="CK101" s="528">
        <f t="shared" si="72"/>
        <v>40.620724747537743</v>
      </c>
      <c r="CL101" s="528">
        <f t="shared" si="73"/>
        <v>7405.9355442178758</v>
      </c>
      <c r="CM101" s="646">
        <f t="shared" si="74"/>
        <v>0</v>
      </c>
    </row>
    <row r="102" spans="1:91" s="464" customFormat="1">
      <c r="A102" s="150">
        <f>'Input data'!A122</f>
        <v>2022</v>
      </c>
      <c r="B102" s="1506">
        <f>'Input data'!B122</f>
        <v>60.682333816399378</v>
      </c>
      <c r="C102" s="1507">
        <f>'Input data'!C122</f>
        <v>4398.6096135141943</v>
      </c>
      <c r="D102" s="1507">
        <f>'Input data'!D122</f>
        <v>50359792.847133137</v>
      </c>
      <c r="E102" s="1455">
        <f t="shared" si="75"/>
        <v>0.82449230769230786</v>
      </c>
      <c r="F102" s="1449">
        <f t="shared" si="76"/>
        <v>0.32052307692307697</v>
      </c>
      <c r="G102" s="1554">
        <f>B102*F102*'Input data'!$C$9</f>
        <v>595.31061323185247</v>
      </c>
      <c r="H102" s="1549">
        <f>'Input data'!I122</f>
        <v>424.26313389388866</v>
      </c>
      <c r="I102" s="1557">
        <f>'Input data'!K122</f>
        <v>25745.277116940699</v>
      </c>
      <c r="J102" s="1557">
        <f>J97*(1-$G$4)</f>
        <v>5572.0157409803969</v>
      </c>
      <c r="K102" s="1511">
        <f t="shared" si="77"/>
        <v>6392.2894869731472</v>
      </c>
      <c r="L102" s="1504">
        <f t="shared" si="28"/>
        <v>0.62615384615384628</v>
      </c>
      <c r="M102" s="1504">
        <f t="shared" si="29"/>
        <v>0.49969230769230777</v>
      </c>
      <c r="N102" s="1504">
        <f t="shared" si="30"/>
        <v>0.78430769230769215</v>
      </c>
      <c r="O102" s="1504">
        <f t="shared" si="31"/>
        <v>0.83846153846153837</v>
      </c>
      <c r="P102" s="1449">
        <f t="shared" si="32"/>
        <v>0.23600000000000002</v>
      </c>
      <c r="Q102" s="1508">
        <f t="shared" si="33"/>
        <v>106.02472547011826</v>
      </c>
      <c r="R102" s="1509">
        <f t="shared" si="34"/>
        <v>73.987348737881234</v>
      </c>
      <c r="S102" s="1509">
        <f t="shared" si="35"/>
        <v>216.66559739951617</v>
      </c>
      <c r="T102" s="1509">
        <f t="shared" si="36"/>
        <v>145.88904992271819</v>
      </c>
      <c r="U102" s="1511">
        <f t="shared" si="37"/>
        <v>0</v>
      </c>
      <c r="V102" s="1509">
        <f t="shared" si="38"/>
        <v>542.56672153023385</v>
      </c>
      <c r="W102" s="1454">
        <f>$E$26</f>
        <v>0.5</v>
      </c>
      <c r="X102" s="530">
        <f t="shared" si="39"/>
        <v>3033.4854703020706</v>
      </c>
      <c r="Y102" s="1508">
        <f t="shared" si="78"/>
        <v>3576.0521918323043</v>
      </c>
      <c r="Z102" s="1509">
        <f t="shared" si="79"/>
        <v>8388.2530361212393</v>
      </c>
      <c r="AA102" s="1511">
        <f t="shared" si="80"/>
        <v>2816.2372951408424</v>
      </c>
      <c r="AB102" s="1091">
        <f t="shared" si="40"/>
        <v>0.33573585382005611</v>
      </c>
      <c r="AC102" s="135" t="str">
        <f t="shared" si="41"/>
        <v>Yes</v>
      </c>
      <c r="AD102" s="1091">
        <f t="shared" si="42"/>
        <v>0.33573585382005611</v>
      </c>
      <c r="AE102" s="649">
        <f t="shared" si="10"/>
        <v>0.15764324460297707</v>
      </c>
      <c r="AF102" s="530">
        <f t="shared" si="43"/>
        <v>357.3809169014288</v>
      </c>
      <c r="AG102" s="528">
        <f t="shared" si="44"/>
        <v>5572.0157409803969</v>
      </c>
      <c r="AH102" s="528">
        <f t="shared" si="81"/>
        <v>7599.7221031332629</v>
      </c>
      <c r="AI102" s="528">
        <f t="shared" si="82"/>
        <v>6437.6604656145792</v>
      </c>
      <c r="AJ102" s="528">
        <f t="shared" si="11"/>
        <v>2077.3097892951496</v>
      </c>
      <c r="AK102" s="528">
        <f t="shared" si="45"/>
        <v>21686.708099023388</v>
      </c>
      <c r="AL102" s="716">
        <f t="shared" si="12"/>
        <v>0</v>
      </c>
      <c r="AM102" s="417">
        <f t="shared" si="46"/>
        <v>0.25693229767920933</v>
      </c>
      <c r="AN102" s="417">
        <f t="shared" si="47"/>
        <v>0.35043225871037104</v>
      </c>
      <c r="AO102" s="417">
        <f t="shared" si="48"/>
        <v>0.29684820933724304</v>
      </c>
      <c r="AP102" s="417">
        <f t="shared" si="49"/>
        <v>9.5787234273176591E-2</v>
      </c>
      <c r="AQ102" s="417">
        <f t="shared" si="50"/>
        <v>1</v>
      </c>
      <c r="AR102" s="1086">
        <f t="shared" si="13"/>
        <v>1019.135616310381</v>
      </c>
      <c r="AS102" s="938">
        <f t="shared" si="14"/>
        <v>1292.5396749805643</v>
      </c>
      <c r="AT102" s="938">
        <f t="shared" si="15"/>
        <v>398.45767442509401</v>
      </c>
      <c r="AU102" s="938">
        <f t="shared" si="16"/>
        <v>0</v>
      </c>
      <c r="AV102" s="938">
        <f t="shared" si="17"/>
        <v>0</v>
      </c>
      <c r="AW102" s="938">
        <f t="shared" si="18"/>
        <v>0</v>
      </c>
      <c r="AX102" s="938">
        <f t="shared" si="19"/>
        <v>1995.737645333661</v>
      </c>
      <c r="AY102" s="938">
        <f t="shared" si="20"/>
        <v>239.39101771219828</v>
      </c>
      <c r="AZ102" s="938">
        <f t="shared" si="21"/>
        <v>275.46553916226009</v>
      </c>
      <c r="BA102" s="938">
        <f t="shared" si="22"/>
        <v>271.76711827035427</v>
      </c>
      <c r="BB102" s="938">
        <f t="shared" si="23"/>
        <v>79.521454785883094</v>
      </c>
      <c r="BC102" s="530">
        <f t="shared" si="51"/>
        <v>5572.015740980396</v>
      </c>
      <c r="BD102" s="724">
        <f t="shared" si="52"/>
        <v>0</v>
      </c>
      <c r="BE102" s="436">
        <f t="shared" si="53"/>
        <v>0.18290250130037575</v>
      </c>
      <c r="BF102" s="624">
        <f t="shared" si="54"/>
        <v>0.2319698534722987</v>
      </c>
      <c r="BG102" s="624">
        <f t="shared" si="55"/>
        <v>7.1510507677601323E-2</v>
      </c>
      <c r="BH102" s="624">
        <f t="shared" si="56"/>
        <v>0</v>
      </c>
      <c r="BI102" s="624">
        <f t="shared" si="57"/>
        <v>0</v>
      </c>
      <c r="BJ102" s="624">
        <f t="shared" si="58"/>
        <v>0</v>
      </c>
      <c r="BK102" s="624">
        <f t="shared" si="59"/>
        <v>0.51361713754972427</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95.352491023753245</v>
      </c>
      <c r="BW102" s="114">
        <f t="shared" si="63"/>
        <v>0.51467713390821135</v>
      </c>
      <c r="BX102" s="1689">
        <f t="shared" si="24"/>
        <v>50.359792847133136</v>
      </c>
      <c r="BY102" s="527">
        <f t="shared" si="64"/>
        <v>95.352491023753245</v>
      </c>
      <c r="BZ102" s="417">
        <f t="shared" si="65"/>
        <v>0.51467713390821135</v>
      </c>
      <c r="CA102" s="544">
        <f t="shared" si="25"/>
        <v>50.359792847133136</v>
      </c>
      <c r="CB102" s="649">
        <f t="shared" si="26"/>
        <v>0.15764324460297707</v>
      </c>
      <c r="CC102" s="525">
        <f t="shared" si="66"/>
        <v>0.28673488287563798</v>
      </c>
      <c r="CD102" s="417">
        <f t="shared" si="27"/>
        <v>0.15764324460297707</v>
      </c>
      <c r="CE102" s="525">
        <f t="shared" si="67"/>
        <v>0.28673488287563798</v>
      </c>
      <c r="CF102" s="1"/>
      <c r="CG102" s="527">
        <f t="shared" si="68"/>
        <v>1438.4021088779325</v>
      </c>
      <c r="CH102" s="528">
        <f t="shared" si="69"/>
        <v>589.72002135125922</v>
      </c>
      <c r="CI102" s="528">
        <f t="shared" si="70"/>
        <v>2350.1302458356136</v>
      </c>
      <c r="CJ102" s="528">
        <f t="shared" si="71"/>
        <v>3180.3812883152686</v>
      </c>
      <c r="CK102" s="528">
        <f t="shared" si="72"/>
        <v>41.088438753189351</v>
      </c>
      <c r="CL102" s="528">
        <f t="shared" si="73"/>
        <v>7599.7221031332638</v>
      </c>
      <c r="CM102" s="646">
        <f t="shared" si="74"/>
        <v>0</v>
      </c>
    </row>
    <row r="103" spans="1:91" s="4" customFormat="1">
      <c r="A103" s="150">
        <f>'Input data'!A123</f>
        <v>2023</v>
      </c>
      <c r="B103" s="1506">
        <f>'Input data'!B123</f>
        <v>61.381040636574369</v>
      </c>
      <c r="C103" s="1507">
        <f>'Input data'!C123</f>
        <v>4491.3837914672167</v>
      </c>
      <c r="D103" s="1507">
        <f>'Input data'!D123</f>
        <v>49695564.714711666</v>
      </c>
      <c r="E103" s="1455">
        <f t="shared" si="75"/>
        <v>0.84643076923076943</v>
      </c>
      <c r="F103" s="1449">
        <f t="shared" si="76"/>
        <v>0.32670769230769237</v>
      </c>
      <c r="G103" s="1554">
        <f>B103*F103*'Input data'!$C$9</f>
        <v>613.78412832495871</v>
      </c>
      <c r="H103" s="1549">
        <f>'Input data'!I123</f>
        <v>424.26313389388866</v>
      </c>
      <c r="I103" s="1557">
        <f>'Input data'!K123</f>
        <v>26041.712662141173</v>
      </c>
      <c r="J103" s="1557">
        <f>($J$107-$J$102)/($A$107-$A$102)+J102</f>
        <v>5237.6947965215732</v>
      </c>
      <c r="K103" s="1511">
        <f t="shared" si="77"/>
        <v>6864.3694979622578</v>
      </c>
      <c r="L103" s="1504">
        <f t="shared" si="28"/>
        <v>0.63538461538461555</v>
      </c>
      <c r="M103" s="1504">
        <f t="shared" si="29"/>
        <v>0.51223076923076927</v>
      </c>
      <c r="N103" s="1504">
        <f t="shared" si="30"/>
        <v>0.79876923076923056</v>
      </c>
      <c r="O103" s="1504">
        <f t="shared" si="31"/>
        <v>0.84615384615384603</v>
      </c>
      <c r="P103" s="1449">
        <f t="shared" si="32"/>
        <v>0.23600000000000002</v>
      </c>
      <c r="Q103" s="1508">
        <f t="shared" si="33"/>
        <v>128.6946148561783</v>
      </c>
      <c r="R103" s="1509">
        <f t="shared" si="34"/>
        <v>89.807102143687757</v>
      </c>
      <c r="S103" s="1509">
        <f t="shared" si="35"/>
        <v>262.99238678786514</v>
      </c>
      <c r="T103" s="1509">
        <f t="shared" si="36"/>
        <v>177.08260981849526</v>
      </c>
      <c r="U103" s="1511">
        <f t="shared" si="37"/>
        <v>0</v>
      </c>
      <c r="V103" s="1509">
        <f t="shared" si="38"/>
        <v>658.57671360622646</v>
      </c>
      <c r="W103" s="1454">
        <f>($N$147-$N$142)/($A$107-$A$102)+W102</f>
        <v>0.5</v>
      </c>
      <c r="X103" s="530">
        <f t="shared" si="39"/>
        <v>3033.4854703020706</v>
      </c>
      <c r="Y103" s="1508">
        <f t="shared" si="78"/>
        <v>3692.0621839082969</v>
      </c>
      <c r="Z103" s="1509">
        <f t="shared" si="79"/>
        <v>8410.0021105755332</v>
      </c>
      <c r="AA103" s="1511">
        <f t="shared" si="80"/>
        <v>3172.30731405396</v>
      </c>
      <c r="AB103" s="1091">
        <f t="shared" si="40"/>
        <v>0.37720648251262628</v>
      </c>
      <c r="AC103" s="135" t="str">
        <f t="shared" si="41"/>
        <v>Yes</v>
      </c>
      <c r="AD103" s="1091">
        <f t="shared" si="42"/>
        <v>0.37720648251262628</v>
      </c>
      <c r="AE103" s="649">
        <f t="shared" si="10"/>
        <v>0.17661362793734681</v>
      </c>
      <c r="AF103" s="530">
        <f t="shared" si="43"/>
        <v>349.33248261682064</v>
      </c>
      <c r="AG103" s="528">
        <f t="shared" si="44"/>
        <v>5237.6947965215732</v>
      </c>
      <c r="AH103" s="528">
        <f t="shared" si="81"/>
        <v>7796.9893950863434</v>
      </c>
      <c r="AI103" s="528">
        <f t="shared" si="82"/>
        <v>6437.6604656145792</v>
      </c>
      <c r="AJ103" s="528">
        <f t="shared" si="11"/>
        <v>1970.0466539559834</v>
      </c>
      <c r="AK103" s="528">
        <f t="shared" si="45"/>
        <v>21442.391311178479</v>
      </c>
      <c r="AL103" s="716">
        <f t="shared" si="12"/>
        <v>0</v>
      </c>
      <c r="AM103" s="417">
        <f t="shared" si="46"/>
        <v>0.24426822179068367</v>
      </c>
      <c r="AN103" s="417">
        <f t="shared" si="47"/>
        <v>0.36362499321713104</v>
      </c>
      <c r="AO103" s="417">
        <f t="shared" si="48"/>
        <v>0.30023052803156608</v>
      </c>
      <c r="AP103" s="417">
        <f t="shared" si="49"/>
        <v>9.1876256960619254E-2</v>
      </c>
      <c r="AQ103" s="417">
        <f t="shared" si="50"/>
        <v>1</v>
      </c>
      <c r="AR103" s="1086">
        <f t="shared" si="13"/>
        <v>976.10205422369711</v>
      </c>
      <c r="AS103" s="938">
        <f t="shared" si="14"/>
        <v>1237.9614761004675</v>
      </c>
      <c r="AT103" s="938">
        <f t="shared" si="15"/>
        <v>364.52471174043808</v>
      </c>
      <c r="AU103" s="938">
        <f t="shared" si="16"/>
        <v>0</v>
      </c>
      <c r="AV103" s="938">
        <f t="shared" si="17"/>
        <v>0</v>
      </c>
      <c r="AW103" s="938">
        <f t="shared" si="18"/>
        <v>0</v>
      </c>
      <c r="AX103" s="938">
        <f t="shared" si="19"/>
        <v>1892.6865365120302</v>
      </c>
      <c r="AY103" s="938">
        <f t="shared" si="20"/>
        <v>217.70803893721899</v>
      </c>
      <c r="AZ103" s="938">
        <f t="shared" si="21"/>
        <v>233.94338542908716</v>
      </c>
      <c r="BA103" s="938">
        <f t="shared" si="22"/>
        <v>239.35327674628138</v>
      </c>
      <c r="BB103" s="938">
        <f t="shared" si="23"/>
        <v>75.415316832352445</v>
      </c>
      <c r="BC103" s="530">
        <f t="shared" si="51"/>
        <v>5237.6947965215732</v>
      </c>
      <c r="BD103" s="724">
        <f t="shared" si="52"/>
        <v>0</v>
      </c>
      <c r="BE103" s="436">
        <f t="shared" si="53"/>
        <v>0.18636100272049838</v>
      </c>
      <c r="BF103" s="624">
        <f t="shared" si="54"/>
        <v>0.23635616892427852</v>
      </c>
      <c r="BG103" s="624">
        <f t="shared" si="55"/>
        <v>6.9596401833593682E-2</v>
      </c>
      <c r="BH103" s="624">
        <f t="shared" si="56"/>
        <v>0</v>
      </c>
      <c r="BI103" s="624">
        <f t="shared" si="57"/>
        <v>0</v>
      </c>
      <c r="BJ103" s="624">
        <f t="shared" si="58"/>
        <v>0</v>
      </c>
      <c r="BK103" s="624">
        <f t="shared" si="59"/>
        <v>0.50768642652162943</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94.919649967461893</v>
      </c>
      <c r="BW103" s="114">
        <f t="shared" si="63"/>
        <v>0.53527295402560937</v>
      </c>
      <c r="BX103" s="1689">
        <f t="shared" si="24"/>
        <v>49.695564714711665</v>
      </c>
      <c r="BY103" s="527">
        <f t="shared" si="64"/>
        <v>94.919649967461893</v>
      </c>
      <c r="BZ103" s="417">
        <f t="shared" si="65"/>
        <v>0.53527295402560937</v>
      </c>
      <c r="CA103" s="544">
        <f t="shared" si="25"/>
        <v>49.695564714711665</v>
      </c>
      <c r="CB103" s="649">
        <f t="shared" si="26"/>
        <v>0.17661362793734681</v>
      </c>
      <c r="CC103" s="525">
        <f t="shared" si="66"/>
        <v>0.2916598899170304</v>
      </c>
      <c r="CD103" s="417">
        <f t="shared" si="27"/>
        <v>0.17661362793734681</v>
      </c>
      <c r="CE103" s="525">
        <f t="shared" si="67"/>
        <v>0.2916598899170304</v>
      </c>
      <c r="CF103"/>
      <c r="CG103" s="527">
        <f t="shared" si="68"/>
        <v>1476.4132204333737</v>
      </c>
      <c r="CH103" s="528">
        <f t="shared" si="69"/>
        <v>611.47800938120383</v>
      </c>
      <c r="CI103" s="528">
        <f t="shared" si="70"/>
        <v>2421.0221138343977</v>
      </c>
      <c r="CJ103" s="528">
        <f t="shared" si="71"/>
        <v>3246.5145133390856</v>
      </c>
      <c r="CK103" s="528">
        <f t="shared" si="72"/>
        <v>41.561538098281396</v>
      </c>
      <c r="CL103" s="528">
        <f t="shared" si="73"/>
        <v>7796.9893950863425</v>
      </c>
      <c r="CM103" s="646">
        <f t="shared" si="74"/>
        <v>0</v>
      </c>
    </row>
    <row r="104" spans="1:91" s="4" customFormat="1">
      <c r="A104" s="150">
        <f>'Input data'!A124</f>
        <v>2024</v>
      </c>
      <c r="B104" s="1506">
        <f>'Input data'!B124</f>
        <v>62.087792487153699</v>
      </c>
      <c r="C104" s="1507">
        <f>'Input data'!C124</f>
        <v>4591.0468432418256</v>
      </c>
      <c r="D104" s="1507">
        <f>'Input data'!D124</f>
        <v>49925010.483280979</v>
      </c>
      <c r="E104" s="1455">
        <f t="shared" si="75"/>
        <v>0.868369230769231</v>
      </c>
      <c r="F104" s="1449">
        <f t="shared" si="76"/>
        <v>0.33289230769230777</v>
      </c>
      <c r="G104" s="1554">
        <f>B104*F104*'Input data'!$C$9</f>
        <v>632.60413388193626</v>
      </c>
      <c r="H104" s="1549">
        <f>'Input data'!I124</f>
        <v>424.26313389388866</v>
      </c>
      <c r="I104" s="1557">
        <f>'Input data'!K124</f>
        <v>26341.561417153265</v>
      </c>
      <c r="J104" s="1557">
        <f t="shared" ref="J104:J106" si="85">($J$107-$J$102)/($A$107-$A$102)+J103</f>
        <v>4903.3738520627494</v>
      </c>
      <c r="K104" s="1511">
        <f t="shared" si="77"/>
        <v>7338.035690518097</v>
      </c>
      <c r="L104" s="1504">
        <f t="shared" si="28"/>
        <v>0.64461538461538481</v>
      </c>
      <c r="M104" s="1504">
        <f t="shared" si="29"/>
        <v>0.52476923076923077</v>
      </c>
      <c r="N104" s="1504">
        <f t="shared" si="30"/>
        <v>0.81323076923076898</v>
      </c>
      <c r="O104" s="1504">
        <f t="shared" si="31"/>
        <v>0.8538461538461537</v>
      </c>
      <c r="P104" s="1449">
        <f t="shared" si="32"/>
        <v>0.23600000000000002</v>
      </c>
      <c r="Q104" s="1508">
        <f t="shared" si="33"/>
        <v>151.87249789664475</v>
      </c>
      <c r="R104" s="1509">
        <f t="shared" si="34"/>
        <v>105.98134931025186</v>
      </c>
      <c r="S104" s="1509">
        <f t="shared" si="35"/>
        <v>310.35728071380208</v>
      </c>
      <c r="T104" s="1509">
        <f t="shared" si="36"/>
        <v>208.97516432406155</v>
      </c>
      <c r="U104" s="1511">
        <f t="shared" si="37"/>
        <v>0</v>
      </c>
      <c r="V104" s="1509">
        <f t="shared" si="38"/>
        <v>777.18629224476024</v>
      </c>
      <c r="W104" s="1454">
        <f>($N$147-$N$142)/($A$107-$A$102)+W103</f>
        <v>0.5</v>
      </c>
      <c r="X104" s="530">
        <f t="shared" si="39"/>
        <v>3033.4854703020706</v>
      </c>
      <c r="Y104" s="1508">
        <f t="shared" si="78"/>
        <v>3810.6717625468309</v>
      </c>
      <c r="Z104" s="1509">
        <f t="shared" si="79"/>
        <v>8430.7377800340146</v>
      </c>
      <c r="AA104" s="1511">
        <f t="shared" si="80"/>
        <v>3527.3639279712652</v>
      </c>
      <c r="AB104" s="1091">
        <f t="shared" si="40"/>
        <v>0.41839326758862067</v>
      </c>
      <c r="AC104" s="135" t="str">
        <f t="shared" si="41"/>
        <v>Yes</v>
      </c>
      <c r="AD104" s="1091">
        <f t="shared" si="42"/>
        <v>0.41839326758862067</v>
      </c>
      <c r="AE104" s="649">
        <f t="shared" si="10"/>
        <v>0.19519681863773264</v>
      </c>
      <c r="AF104" s="530">
        <f t="shared" si="43"/>
        <v>341.44831989252719</v>
      </c>
      <c r="AG104" s="528">
        <f t="shared" si="44"/>
        <v>4903.3738520627494</v>
      </c>
      <c r="AH104" s="528">
        <f t="shared" si="81"/>
        <v>7997.7918841172896</v>
      </c>
      <c r="AI104" s="528">
        <f t="shared" si="82"/>
        <v>6437.6604656145792</v>
      </c>
      <c r="AJ104" s="528">
        <f t="shared" si="11"/>
        <v>1860.9462287798847</v>
      </c>
      <c r="AK104" s="528">
        <f t="shared" si="45"/>
        <v>21199.772430574503</v>
      </c>
      <c r="AL104" s="716">
        <f t="shared" si="12"/>
        <v>0</v>
      </c>
      <c r="AM104" s="417">
        <f t="shared" si="46"/>
        <v>0.23129370223762682</v>
      </c>
      <c r="AN104" s="417">
        <f t="shared" si="47"/>
        <v>0.37725838380146015</v>
      </c>
      <c r="AO104" s="417">
        <f t="shared" si="48"/>
        <v>0.3036664891897673</v>
      </c>
      <c r="AP104" s="417">
        <f t="shared" si="49"/>
        <v>8.7781424771145714E-2</v>
      </c>
      <c r="AQ104" s="417">
        <f t="shared" si="50"/>
        <v>1</v>
      </c>
      <c r="AR104" s="1086">
        <f t="shared" si="13"/>
        <v>931.00179754693477</v>
      </c>
      <c r="AS104" s="938">
        <f t="shared" si="14"/>
        <v>1180.7621493635941</v>
      </c>
      <c r="AT104" s="938">
        <f t="shared" si="15"/>
        <v>331.71889252091779</v>
      </c>
      <c r="AU104" s="938">
        <f t="shared" si="16"/>
        <v>0</v>
      </c>
      <c r="AV104" s="938">
        <f t="shared" si="17"/>
        <v>0</v>
      </c>
      <c r="AW104" s="938">
        <f t="shared" si="18"/>
        <v>0</v>
      </c>
      <c r="AX104" s="938">
        <f t="shared" si="19"/>
        <v>1787.8702848542894</v>
      </c>
      <c r="AY104" s="938">
        <f t="shared" si="20"/>
        <v>196.84581352580756</v>
      </c>
      <c r="AZ104" s="938">
        <f t="shared" si="21"/>
        <v>195.20113597325738</v>
      </c>
      <c r="BA104" s="938">
        <f t="shared" si="22"/>
        <v>208.73493265488335</v>
      </c>
      <c r="BB104" s="938">
        <f t="shared" si="23"/>
        <v>71.238845623065188</v>
      </c>
      <c r="BC104" s="530">
        <f t="shared" si="51"/>
        <v>4903.3738520627512</v>
      </c>
      <c r="BD104" s="724">
        <f t="shared" si="52"/>
        <v>0</v>
      </c>
      <c r="BE104" s="436">
        <f t="shared" si="53"/>
        <v>0.18986963377374966</v>
      </c>
      <c r="BF104" s="624">
        <f t="shared" si="54"/>
        <v>0.24080606231296661</v>
      </c>
      <c r="BG104" s="624">
        <f t="shared" si="55"/>
        <v>6.7651152559246586E-2</v>
      </c>
      <c r="BH104" s="624">
        <f t="shared" si="56"/>
        <v>0</v>
      </c>
      <c r="BI104" s="624">
        <f t="shared" si="57"/>
        <v>0</v>
      </c>
      <c r="BJ104" s="624">
        <f t="shared" si="58"/>
        <v>0</v>
      </c>
      <c r="BK104" s="624">
        <f t="shared" si="59"/>
        <v>0.50167315135403667</v>
      </c>
      <c r="BL104" s="624">
        <f t="shared" si="60"/>
        <v>0.99999999999999956</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95.417503736729643</v>
      </c>
      <c r="BW104" s="114">
        <f t="shared" si="63"/>
        <v>0.55294258122958317</v>
      </c>
      <c r="BX104" s="1689">
        <f t="shared" si="24"/>
        <v>49.925010483280978</v>
      </c>
      <c r="BY104" s="527">
        <f t="shared" si="64"/>
        <v>95.417503736729643</v>
      </c>
      <c r="BZ104" s="417">
        <f t="shared" si="65"/>
        <v>0.55294258122958317</v>
      </c>
      <c r="CA104" s="544">
        <f t="shared" si="25"/>
        <v>49.925010483280978</v>
      </c>
      <c r="CB104" s="649">
        <f t="shared" si="26"/>
        <v>0.19519681863773264</v>
      </c>
      <c r="CC104" s="525">
        <f t="shared" si="66"/>
        <v>0.29424060922671458</v>
      </c>
      <c r="CD104" s="417">
        <f t="shared" si="27"/>
        <v>0.19519681863773264</v>
      </c>
      <c r="CE104" s="525">
        <f t="shared" si="67"/>
        <v>0.29424060922671458</v>
      </c>
      <c r="CF104"/>
      <c r="CG104" s="527">
        <f t="shared" si="68"/>
        <v>1515.1089671117584</v>
      </c>
      <c r="CH104" s="528">
        <f t="shared" si="69"/>
        <v>633.65886502588842</v>
      </c>
      <c r="CI104" s="528">
        <f t="shared" si="70"/>
        <v>2493.2349329075432</v>
      </c>
      <c r="CJ104" s="528">
        <f t="shared" si="71"/>
        <v>3313.7490342815627</v>
      </c>
      <c r="CK104" s="528">
        <f t="shared" si="72"/>
        <v>42.040084790537726</v>
      </c>
      <c r="CL104" s="528">
        <f t="shared" si="73"/>
        <v>7997.7918841172905</v>
      </c>
      <c r="CM104" s="646">
        <f t="shared" si="74"/>
        <v>0</v>
      </c>
    </row>
    <row r="105" spans="1:91" s="4" customFormat="1">
      <c r="A105" s="150">
        <f>'Input data'!A125</f>
        <v>2025</v>
      </c>
      <c r="B105" s="1506">
        <f>'Input data'!B125</f>
        <v>62.802682000000026</v>
      </c>
      <c r="C105" s="1507">
        <f>'Input data'!C125</f>
        <v>4678.7390647078637</v>
      </c>
      <c r="D105" s="1507">
        <f>'Input data'!D125</f>
        <v>50358140.956147172</v>
      </c>
      <c r="E105" s="1455">
        <f t="shared" si="75"/>
        <v>0.89030769230769258</v>
      </c>
      <c r="F105" s="1449">
        <f t="shared" si="76"/>
        <v>0.33907692307692316</v>
      </c>
      <c r="G105" s="1554">
        <f>B105*F105*'Input data'!$C$9</f>
        <v>651.77615985670707</v>
      </c>
      <c r="H105" s="1549">
        <f>'Input data'!I125</f>
        <v>424.26313389388866</v>
      </c>
      <c r="I105" s="1557">
        <f>'Input data'!K125</f>
        <v>26644.862682261322</v>
      </c>
      <c r="J105" s="1557">
        <f t="shared" si="85"/>
        <v>4569.0529076039256</v>
      </c>
      <c r="K105" s="1511">
        <f t="shared" si="77"/>
        <v>7813.3063282078183</v>
      </c>
      <c r="L105" s="1504">
        <f t="shared" si="28"/>
        <v>0.65384615384615408</v>
      </c>
      <c r="M105" s="1504">
        <f t="shared" si="29"/>
        <v>0.53730769230769226</v>
      </c>
      <c r="N105" s="1504">
        <f t="shared" si="30"/>
        <v>0.82769230769230739</v>
      </c>
      <c r="O105" s="1504">
        <f t="shared" si="31"/>
        <v>0.86153846153846136</v>
      </c>
      <c r="P105" s="1449">
        <f t="shared" si="32"/>
        <v>0.23600000000000002</v>
      </c>
      <c r="Q105" s="1508">
        <f t="shared" si="33"/>
        <v>175.56706735725811</v>
      </c>
      <c r="R105" s="1509">
        <f t="shared" si="34"/>
        <v>122.51615631968355</v>
      </c>
      <c r="S105" s="1509">
        <f t="shared" si="35"/>
        <v>358.77804317788559</v>
      </c>
      <c r="T105" s="1509">
        <f t="shared" si="36"/>
        <v>241.57867460535908</v>
      </c>
      <c r="U105" s="1511">
        <f t="shared" si="37"/>
        <v>0</v>
      </c>
      <c r="V105" s="1509">
        <f t="shared" si="38"/>
        <v>898.43994146018633</v>
      </c>
      <c r="W105" s="1454">
        <f>($N$147-$N$142)/($A$107-$A$102)+W104</f>
        <v>0.5</v>
      </c>
      <c r="X105" s="530">
        <f t="shared" si="39"/>
        <v>3033.4854703020706</v>
      </c>
      <c r="Y105" s="1508">
        <f t="shared" si="78"/>
        <v>3931.9254117622568</v>
      </c>
      <c r="Z105" s="1509">
        <f t="shared" si="79"/>
        <v>8450.4338240494872</v>
      </c>
      <c r="AA105" s="1511">
        <f t="shared" si="80"/>
        <v>3881.3809164455615</v>
      </c>
      <c r="AB105" s="1091">
        <f t="shared" si="40"/>
        <v>0.459311438591396</v>
      </c>
      <c r="AC105" s="135" t="str">
        <f t="shared" si="41"/>
        <v>Yes</v>
      </c>
      <c r="AD105" s="1091">
        <f t="shared" si="42"/>
        <v>0.459311438591396</v>
      </c>
      <c r="AE105" s="649">
        <f t="shared" si="10"/>
        <v>0.21340034507035144</v>
      </c>
      <c r="AF105" s="530">
        <f t="shared" si="43"/>
        <v>333.72523472030412</v>
      </c>
      <c r="AG105" s="528">
        <f t="shared" si="44"/>
        <v>4569.0529076039256</v>
      </c>
      <c r="AH105" s="528">
        <f t="shared" si="81"/>
        <v>8202.1848270207192</v>
      </c>
      <c r="AI105" s="528">
        <f t="shared" si="82"/>
        <v>6437.6604656145792</v>
      </c>
      <c r="AJ105" s="528">
        <f t="shared" si="11"/>
        <v>1749.9415912754064</v>
      </c>
      <c r="AK105" s="528">
        <f t="shared" si="45"/>
        <v>20958.839791514627</v>
      </c>
      <c r="AL105" s="716">
        <f t="shared" si="12"/>
        <v>0</v>
      </c>
      <c r="AM105" s="417">
        <f t="shared" si="46"/>
        <v>0.21800123256124831</v>
      </c>
      <c r="AN105" s="417">
        <f t="shared" si="47"/>
        <v>0.39134727440120265</v>
      </c>
      <c r="AO105" s="417">
        <f t="shared" si="48"/>
        <v>0.30715729160833238</v>
      </c>
      <c r="AP105" s="417">
        <f t="shared" si="49"/>
        <v>8.3494201429216791E-2</v>
      </c>
      <c r="AQ105" s="417">
        <f t="shared" si="50"/>
        <v>1</v>
      </c>
      <c r="AR105" s="1086">
        <f t="shared" si="13"/>
        <v>883.793761908639</v>
      </c>
      <c r="AS105" s="938">
        <f t="shared" si="14"/>
        <v>1120.8895886721123</v>
      </c>
      <c r="AT105" s="938">
        <f t="shared" si="15"/>
        <v>300.06611594807072</v>
      </c>
      <c r="AU105" s="938">
        <f t="shared" si="16"/>
        <v>0</v>
      </c>
      <c r="AV105" s="938">
        <f t="shared" si="17"/>
        <v>0</v>
      </c>
      <c r="AW105" s="938">
        <f t="shared" si="18"/>
        <v>0</v>
      </c>
      <c r="AX105" s="938">
        <f t="shared" si="19"/>
        <v>1681.2245957924411</v>
      </c>
      <c r="AY105" s="938">
        <f t="shared" si="20"/>
        <v>176.82366036543934</v>
      </c>
      <c r="AZ105" s="938">
        <f t="shared" si="21"/>
        <v>159.30907465228333</v>
      </c>
      <c r="BA105" s="938">
        <f t="shared" si="22"/>
        <v>179.9566309654831</v>
      </c>
      <c r="BB105" s="938">
        <f t="shared" si="23"/>
        <v>66.989479299455425</v>
      </c>
      <c r="BC105" s="530">
        <f t="shared" si="51"/>
        <v>4569.0529076039238</v>
      </c>
      <c r="BD105" s="724">
        <f t="shared" si="52"/>
        <v>0</v>
      </c>
      <c r="BE105" s="436">
        <f t="shared" si="53"/>
        <v>0.19343040664681491</v>
      </c>
      <c r="BF105" s="624">
        <f t="shared" si="54"/>
        <v>0.24532208563545013</v>
      </c>
      <c r="BG105" s="624">
        <f t="shared" si="55"/>
        <v>6.5673591883493782E-2</v>
      </c>
      <c r="BH105" s="624">
        <f t="shared" si="56"/>
        <v>0</v>
      </c>
      <c r="BI105" s="624">
        <f t="shared" si="57"/>
        <v>0</v>
      </c>
      <c r="BJ105" s="624">
        <f t="shared" si="58"/>
        <v>0</v>
      </c>
      <c r="BK105" s="624">
        <f t="shared" si="59"/>
        <v>0.49557391583424132</v>
      </c>
      <c r="BL105" s="624">
        <f t="shared" si="60"/>
        <v>1.0000000000000002</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96.059347468913728</v>
      </c>
      <c r="BW105" s="114">
        <f t="shared" si="63"/>
        <v>0.56964880017415198</v>
      </c>
      <c r="BX105" s="1689">
        <f t="shared" si="24"/>
        <v>50.358140956147174</v>
      </c>
      <c r="BY105" s="527">
        <f t="shared" si="64"/>
        <v>96.059347468913728</v>
      </c>
      <c r="BZ105" s="417">
        <f t="shared" si="65"/>
        <v>0.56964880017415198</v>
      </c>
      <c r="CA105" s="544">
        <f t="shared" si="25"/>
        <v>50.358140956147174</v>
      </c>
      <c r="CB105" s="649">
        <f t="shared" si="26"/>
        <v>0.21340034507035144</v>
      </c>
      <c r="CC105" s="525">
        <f t="shared" si="66"/>
        <v>0.29581125115006557</v>
      </c>
      <c r="CD105" s="417">
        <f t="shared" si="27"/>
        <v>0.21340034507035144</v>
      </c>
      <c r="CE105" s="525">
        <f t="shared" si="67"/>
        <v>0.29581125115006557</v>
      </c>
      <c r="CF105"/>
      <c r="CG105" s="527">
        <f t="shared" si="68"/>
        <v>1554.5000755590524</v>
      </c>
      <c r="CH105" s="528">
        <f t="shared" si="69"/>
        <v>656.26944163572841</v>
      </c>
      <c r="CI105" s="528">
        <f t="shared" si="70"/>
        <v>2566.7897237992397</v>
      </c>
      <c r="CJ105" s="528">
        <f t="shared" si="71"/>
        <v>3382.1014444750476</v>
      </c>
      <c r="CK105" s="528">
        <f t="shared" si="72"/>
        <v>42.524141551649727</v>
      </c>
      <c r="CL105" s="528">
        <f t="shared" si="73"/>
        <v>8202.1848270207174</v>
      </c>
      <c r="CM105" s="646">
        <f t="shared" si="74"/>
        <v>0</v>
      </c>
    </row>
    <row r="106" spans="1:91" s="4" customFormat="1">
      <c r="A106" s="150">
        <f>'Input data'!A126</f>
        <v>2026</v>
      </c>
      <c r="B106" s="1506">
        <f>'Input data'!B126</f>
        <v>63.421065342005143</v>
      </c>
      <c r="C106" s="1507">
        <f>'Input data'!C126</f>
        <v>4759.3318943865906</v>
      </c>
      <c r="D106" s="1507">
        <f>'Input data'!D126</f>
        <v>48568999.176537097</v>
      </c>
      <c r="E106" s="1455">
        <f t="shared" si="75"/>
        <v>0.91224615384615415</v>
      </c>
      <c r="F106" s="1449">
        <f t="shared" si="76"/>
        <v>0.34526153846153856</v>
      </c>
      <c r="G106" s="1554">
        <f>B106*F106*'Input data'!$C$9</f>
        <v>670.19900886595155</v>
      </c>
      <c r="H106" s="1549">
        <f>'Input data'!I126</f>
        <v>424.26313389388866</v>
      </c>
      <c r="I106" s="1557">
        <f>'Input data'!K126</f>
        <v>26907.219936888188</v>
      </c>
      <c r="J106" s="1557">
        <f t="shared" si="85"/>
        <v>4234.7319631451019</v>
      </c>
      <c r="K106" s="1511">
        <f t="shared" si="77"/>
        <v>8269.5495288873099</v>
      </c>
      <c r="L106" s="1504">
        <f t="shared" si="28"/>
        <v>0.66307692307692334</v>
      </c>
      <c r="M106" s="1504">
        <f t="shared" si="29"/>
        <v>0.54984615384615376</v>
      </c>
      <c r="N106" s="1504">
        <f t="shared" si="30"/>
        <v>0.84215384615384581</v>
      </c>
      <c r="O106" s="1504">
        <f t="shared" si="31"/>
        <v>0.86923076923076903</v>
      </c>
      <c r="P106" s="1449">
        <f t="shared" si="32"/>
        <v>0.23600000000000002</v>
      </c>
      <c r="Q106" s="1508">
        <f t="shared" si="33"/>
        <v>199.45775177427959</v>
      </c>
      <c r="R106" s="1509">
        <f t="shared" si="34"/>
        <v>139.18781844105331</v>
      </c>
      <c r="S106" s="1509">
        <f t="shared" si="35"/>
        <v>407.5995740853723</v>
      </c>
      <c r="T106" s="1509">
        <f t="shared" si="36"/>
        <v>274.45203726815635</v>
      </c>
      <c r="U106" s="1511">
        <f t="shared" si="37"/>
        <v>0</v>
      </c>
      <c r="V106" s="1509">
        <f t="shared" si="38"/>
        <v>1020.6971815688615</v>
      </c>
      <c r="W106" s="1454">
        <f>($N$147-$N$142)/($A$107-$A$102)+W105</f>
        <v>0.5</v>
      </c>
      <c r="X106" s="530">
        <f t="shared" si="39"/>
        <v>3033.4854703020706</v>
      </c>
      <c r="Y106" s="1508">
        <f t="shared" si="78"/>
        <v>4054.1826518709322</v>
      </c>
      <c r="Z106" s="1509">
        <f t="shared" si="79"/>
        <v>8450.0988401614813</v>
      </c>
      <c r="AA106" s="1511">
        <f t="shared" si="80"/>
        <v>4215.3668770163795</v>
      </c>
      <c r="AB106" s="1091">
        <f t="shared" si="40"/>
        <v>0.49885415031853331</v>
      </c>
      <c r="AC106" s="135" t="str">
        <f t="shared" si="41"/>
        <v>Yes</v>
      </c>
      <c r="AD106" s="1091">
        <f t="shared" si="42"/>
        <v>0.49885415031853331</v>
      </c>
      <c r="AE106" s="649">
        <f t="shared" si="10"/>
        <v>0.23044140465623386</v>
      </c>
      <c r="AF106" s="530">
        <f t="shared" si="43"/>
        <v>326.49534137552507</v>
      </c>
      <c r="AG106" s="528">
        <f t="shared" si="44"/>
        <v>4234.7319631451019</v>
      </c>
      <c r="AH106" s="528">
        <f t="shared" si="81"/>
        <v>8396.3580112842246</v>
      </c>
      <c r="AI106" s="528">
        <f t="shared" si="82"/>
        <v>6437.6604656145792</v>
      </c>
      <c r="AJ106" s="528">
        <f t="shared" si="11"/>
        <v>1637.9319391935446</v>
      </c>
      <c r="AK106" s="528">
        <f t="shared" si="45"/>
        <v>20706.682379237453</v>
      </c>
      <c r="AL106" s="716">
        <f t="shared" si="12"/>
        <v>0</v>
      </c>
      <c r="AM106" s="417">
        <f t="shared" si="46"/>
        <v>0.20451040324022446</v>
      </c>
      <c r="AN106" s="417">
        <f t="shared" si="47"/>
        <v>0.40549025949725465</v>
      </c>
      <c r="AO106" s="417">
        <f t="shared" si="48"/>
        <v>0.31089772604372434</v>
      </c>
      <c r="AP106" s="417">
        <f t="shared" si="49"/>
        <v>7.9101611218796483E-2</v>
      </c>
      <c r="AQ106" s="417">
        <f t="shared" si="50"/>
        <v>0.99999999999999989</v>
      </c>
      <c r="AR106" s="1086">
        <f t="shared" si="13"/>
        <v>833.82339101172897</v>
      </c>
      <c r="AS106" s="938">
        <f t="shared" si="14"/>
        <v>1057.5136395598799</v>
      </c>
      <c r="AT106" s="938">
        <f t="shared" si="15"/>
        <v>269.75320797639517</v>
      </c>
      <c r="AU106" s="938">
        <f t="shared" si="16"/>
        <v>0</v>
      </c>
      <c r="AV106" s="938">
        <f t="shared" si="17"/>
        <v>0</v>
      </c>
      <c r="AW106" s="938">
        <f t="shared" si="18"/>
        <v>0</v>
      </c>
      <c r="AX106" s="938">
        <f t="shared" si="19"/>
        <v>1573.6133572316546</v>
      </c>
      <c r="AY106" s="938">
        <f t="shared" si="20"/>
        <v>157.75521557479439</v>
      </c>
      <c r="AZ106" s="938">
        <f t="shared" si="21"/>
        <v>126.41575988277421</v>
      </c>
      <c r="BA106" s="938">
        <f t="shared" si="22"/>
        <v>153.15575187510333</v>
      </c>
      <c r="BB106" s="938">
        <f t="shared" si="23"/>
        <v>62.701640032769753</v>
      </c>
      <c r="BC106" s="530">
        <f t="shared" si="51"/>
        <v>4234.7319631451001</v>
      </c>
      <c r="BD106" s="724">
        <f t="shared" si="52"/>
        <v>0</v>
      </c>
      <c r="BE106" s="436">
        <f t="shared" si="53"/>
        <v>0.19690110218745824</v>
      </c>
      <c r="BF106" s="624">
        <f t="shared" si="54"/>
        <v>0.24972386653120623</v>
      </c>
      <c r="BG106" s="624">
        <f t="shared" si="55"/>
        <v>6.3700184645464952E-2</v>
      </c>
      <c r="BH106" s="624">
        <f t="shared" si="56"/>
        <v>0</v>
      </c>
      <c r="BI106" s="624">
        <f t="shared" si="57"/>
        <v>0</v>
      </c>
      <c r="BJ106" s="624">
        <f t="shared" si="58"/>
        <v>0</v>
      </c>
      <c r="BK106" s="624">
        <f t="shared" si="59"/>
        <v>0.48967484663587058</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94.431291717526335</v>
      </c>
      <c r="BW106" s="114">
        <f t="shared" si="63"/>
        <v>0.59299438334623022</v>
      </c>
      <c r="BX106" s="1689">
        <f t="shared" si="24"/>
        <v>48.568999176537098</v>
      </c>
      <c r="BY106" s="527">
        <f t="shared" si="64"/>
        <v>94.431291717526335</v>
      </c>
      <c r="BZ106" s="417">
        <f t="shared" si="65"/>
        <v>0.59299438334623022</v>
      </c>
      <c r="CA106" s="544">
        <f t="shared" si="25"/>
        <v>48.568999176537098</v>
      </c>
      <c r="CB106" s="649">
        <f t="shared" si="26"/>
        <v>0.23044140465623386</v>
      </c>
      <c r="CC106" s="525">
        <f t="shared" si="66"/>
        <v>0.30335927190463674</v>
      </c>
      <c r="CD106" s="417">
        <f t="shared" si="27"/>
        <v>0.23044140465623386</v>
      </c>
      <c r="CE106" s="525">
        <f t="shared" si="67"/>
        <v>0.30335927190463674</v>
      </c>
      <c r="CF106"/>
      <c r="CG106" s="527">
        <f t="shared" si="68"/>
        <v>1591.9683521243355</v>
      </c>
      <c r="CH106" s="528">
        <f t="shared" si="69"/>
        <v>678.19667772096068</v>
      </c>
      <c r="CI106" s="528">
        <f t="shared" si="70"/>
        <v>2637.3523268833728</v>
      </c>
      <c r="CJ106" s="528">
        <f t="shared" si="71"/>
        <v>3445.8978012557582</v>
      </c>
      <c r="CK106" s="528">
        <f t="shared" si="72"/>
        <v>42.942853299797797</v>
      </c>
      <c r="CL106" s="528">
        <f t="shared" si="73"/>
        <v>8396.3580112842246</v>
      </c>
      <c r="CM106" s="646">
        <f t="shared" si="74"/>
        <v>0</v>
      </c>
    </row>
    <row r="107" spans="1:91" s="464" customFormat="1">
      <c r="A107" s="150">
        <f>'Input data'!A127</f>
        <v>2027</v>
      </c>
      <c r="B107" s="1506">
        <f>'Input data'!B127</f>
        <v>64.045537563425796</v>
      </c>
      <c r="C107" s="1507">
        <f>'Input data'!C127</f>
        <v>4833.4252769493587</v>
      </c>
      <c r="D107" s="1507">
        <f>'Input data'!D127</f>
        <v>48190122.249078177</v>
      </c>
      <c r="E107" s="1455">
        <f t="shared" si="75"/>
        <v>0.93418461538461572</v>
      </c>
      <c r="F107" s="1449">
        <f t="shared" si="76"/>
        <v>0.35144615384615396</v>
      </c>
      <c r="G107" s="1554">
        <f>B107*F107*'Input data'!$C$9</f>
        <v>688.92146577149424</v>
      </c>
      <c r="H107" s="1549">
        <f>'Input data'!I127</f>
        <v>424.26313389388866</v>
      </c>
      <c r="I107" s="1557">
        <f>'Input data'!K127</f>
        <v>27172.160478577796</v>
      </c>
      <c r="J107" s="1557">
        <f>J97*(1-$G$5)</f>
        <v>3900.4110186862777</v>
      </c>
      <c r="K107" s="1511">
        <f t="shared" si="77"/>
        <v>8726.9932307216241</v>
      </c>
      <c r="L107" s="1504">
        <f t="shared" si="28"/>
        <v>0.67230769230769261</v>
      </c>
      <c r="M107" s="1504">
        <f t="shared" si="29"/>
        <v>0.56238461538461526</v>
      </c>
      <c r="N107" s="1504">
        <f t="shared" si="30"/>
        <v>0.85661538461538422</v>
      </c>
      <c r="O107" s="1504">
        <f t="shared" si="31"/>
        <v>0.87692307692307669</v>
      </c>
      <c r="P107" s="1449">
        <f t="shared" si="32"/>
        <v>0.23600000000000002</v>
      </c>
      <c r="Q107" s="1508">
        <f t="shared" si="33"/>
        <v>223.80189128168513</v>
      </c>
      <c r="R107" s="1509">
        <f t="shared" si="34"/>
        <v>156.17591561811867</v>
      </c>
      <c r="S107" s="1509">
        <f t="shared" si="35"/>
        <v>457.34775788081879</v>
      </c>
      <c r="T107" s="1509">
        <f t="shared" si="36"/>
        <v>307.94934997680866</v>
      </c>
      <c r="U107" s="1511">
        <f t="shared" si="37"/>
        <v>0</v>
      </c>
      <c r="V107" s="1509">
        <f t="shared" si="38"/>
        <v>1145.2749147574314</v>
      </c>
      <c r="W107" s="1454">
        <f>$C$27</f>
        <v>0.5</v>
      </c>
      <c r="X107" s="530">
        <f t="shared" si="39"/>
        <v>3033.4854703020706</v>
      </c>
      <c r="Y107" s="1508">
        <f t="shared" si="78"/>
        <v>4178.7603850595024</v>
      </c>
      <c r="Z107" s="1509">
        <f t="shared" si="79"/>
        <v>8448.6438643483998</v>
      </c>
      <c r="AA107" s="1511">
        <f t="shared" si="80"/>
        <v>4548.2328456621217</v>
      </c>
      <c r="AB107" s="1091">
        <f t="shared" si="40"/>
        <v>0.53833880545666757</v>
      </c>
      <c r="AC107" s="135" t="str">
        <f t="shared" si="41"/>
        <v>Yes</v>
      </c>
      <c r="AD107" s="1091">
        <f t="shared" si="42"/>
        <v>0.53833880545666757</v>
      </c>
      <c r="AE107" s="649">
        <f t="shared" si="10"/>
        <v>0.24719384179753368</v>
      </c>
      <c r="AF107" s="530">
        <f t="shared" si="43"/>
        <v>319.38789989359691</v>
      </c>
      <c r="AG107" s="528">
        <f t="shared" si="44"/>
        <v>3900.4110186862777</v>
      </c>
      <c r="AH107" s="528">
        <f t="shared" si="81"/>
        <v>8593.5598052314708</v>
      </c>
      <c r="AI107" s="528">
        <f t="shared" si="82"/>
        <v>6437.6604656145792</v>
      </c>
      <c r="AJ107" s="528">
        <f t="shared" si="11"/>
        <v>1523.7384504067129</v>
      </c>
      <c r="AK107" s="528">
        <f t="shared" si="45"/>
        <v>20455.36973993904</v>
      </c>
      <c r="AL107" s="716">
        <f t="shared" si="12"/>
        <v>0</v>
      </c>
      <c r="AM107" s="417">
        <f t="shared" si="46"/>
        <v>0.19067907685240901</v>
      </c>
      <c r="AN107" s="417">
        <f t="shared" si="47"/>
        <v>0.42011266061119268</v>
      </c>
      <c r="AO107" s="417">
        <f t="shared" si="48"/>
        <v>0.31471738460171017</v>
      </c>
      <c r="AP107" s="417">
        <f t="shared" si="49"/>
        <v>7.4490877934688157E-2</v>
      </c>
      <c r="AQ107" s="417">
        <f t="shared" si="50"/>
        <v>1</v>
      </c>
      <c r="AR107" s="1086">
        <f t="shared" si="13"/>
        <v>781.77006592112741</v>
      </c>
      <c r="AS107" s="938">
        <f t="shared" si="14"/>
        <v>991.49594101467198</v>
      </c>
      <c r="AT107" s="938">
        <f t="shared" si="15"/>
        <v>240.61446429666105</v>
      </c>
      <c r="AU107" s="938">
        <f t="shared" si="16"/>
        <v>0</v>
      </c>
      <c r="AV107" s="938">
        <f t="shared" si="17"/>
        <v>0</v>
      </c>
      <c r="AW107" s="938">
        <f t="shared" si="18"/>
        <v>0</v>
      </c>
      <c r="AX107" s="938">
        <f t="shared" si="19"/>
        <v>1463.9040372263819</v>
      </c>
      <c r="AY107" s="938">
        <f t="shared" si="20"/>
        <v>139.54678704642032</v>
      </c>
      <c r="AZ107" s="938">
        <f t="shared" si="21"/>
        <v>96.488323147320429</v>
      </c>
      <c r="BA107" s="938">
        <f t="shared" si="22"/>
        <v>128.26119867713939</v>
      </c>
      <c r="BB107" s="938">
        <f t="shared" si="23"/>
        <v>58.33020135655503</v>
      </c>
      <c r="BC107" s="530">
        <f t="shared" si="51"/>
        <v>3900.4110186862777</v>
      </c>
      <c r="BD107" s="724">
        <f t="shared" si="52"/>
        <v>0</v>
      </c>
      <c r="BE107" s="436">
        <f t="shared" si="53"/>
        <v>0.20043273956918531</v>
      </c>
      <c r="BF107" s="624">
        <f t="shared" si="54"/>
        <v>0.25420293816845591</v>
      </c>
      <c r="BG107" s="624">
        <f t="shared" si="55"/>
        <v>6.1689515064928709E-2</v>
      </c>
      <c r="BH107" s="624">
        <f t="shared" si="56"/>
        <v>0</v>
      </c>
      <c r="BI107" s="624">
        <f t="shared" si="57"/>
        <v>0</v>
      </c>
      <c r="BJ107" s="624">
        <f t="shared" si="58"/>
        <v>0</v>
      </c>
      <c r="BK107" s="624">
        <f t="shared" si="59"/>
        <v>0.48367480719743011</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94.181019377283647</v>
      </c>
      <c r="BW107" s="114">
        <f t="shared" si="63"/>
        <v>0.61161661178772531</v>
      </c>
      <c r="BX107" s="1689">
        <f t="shared" si="24"/>
        <v>48.190122249078179</v>
      </c>
      <c r="BY107" s="527">
        <f t="shared" si="64"/>
        <v>94.181019377283647</v>
      </c>
      <c r="BZ107" s="417">
        <f t="shared" si="65"/>
        <v>0.61161661178772531</v>
      </c>
      <c r="CA107" s="544">
        <f t="shared" si="25"/>
        <v>48.190122249078179</v>
      </c>
      <c r="CB107" s="649">
        <f t="shared" si="26"/>
        <v>0.24719384179753368</v>
      </c>
      <c r="CC107" s="525">
        <f t="shared" si="66"/>
        <v>0.30670715972377605</v>
      </c>
      <c r="CD107" s="417">
        <f t="shared" si="27"/>
        <v>0.24719384179753368</v>
      </c>
      <c r="CE107" s="525">
        <f t="shared" si="67"/>
        <v>0.30670715972377605</v>
      </c>
      <c r="CF107" s="1"/>
      <c r="CG107" s="527">
        <f t="shared" si="68"/>
        <v>1630.0237748349339</v>
      </c>
      <c r="CH107" s="528">
        <f t="shared" si="69"/>
        <v>700.49209759758685</v>
      </c>
      <c r="CI107" s="528">
        <f t="shared" si="70"/>
        <v>2709.0556551919217</v>
      </c>
      <c r="CJ107" s="528">
        <f t="shared" si="71"/>
        <v>3510.6225897356312</v>
      </c>
      <c r="CK107" s="528">
        <f t="shared" si="72"/>
        <v>43.365687871397228</v>
      </c>
      <c r="CL107" s="528">
        <f t="shared" si="73"/>
        <v>8593.5598052314708</v>
      </c>
      <c r="CM107" s="646">
        <f t="shared" si="74"/>
        <v>0</v>
      </c>
    </row>
    <row r="108" spans="1:91" s="4" customFormat="1">
      <c r="A108" s="150">
        <f>'Input data'!A128</f>
        <v>2028</v>
      </c>
      <c r="B108" s="1506">
        <f>'Input data'!B128</f>
        <v>64.676158618096451</v>
      </c>
      <c r="C108" s="1507">
        <f>'Input data'!C128</f>
        <v>4919.2292537742524</v>
      </c>
      <c r="D108" s="1507">
        <f>'Input data'!D128</f>
        <v>48438037.819118328</v>
      </c>
      <c r="E108" s="1455">
        <f t="shared" si="75"/>
        <v>0.9561230769230773</v>
      </c>
      <c r="F108" s="1449">
        <f t="shared" si="76"/>
        <v>0.35763076923076936</v>
      </c>
      <c r="G108" s="1554">
        <f>B108*F108*'Input data'!$C$9</f>
        <v>707.94764457850295</v>
      </c>
      <c r="H108" s="1549">
        <f>'Input data'!I128</f>
        <v>424.26313389388866</v>
      </c>
      <c r="I108" s="1557">
        <f>'Input data'!K128</f>
        <v>27439.709743531836</v>
      </c>
      <c r="J108" s="1557">
        <f>($J$112-$J$107)/($A$112-$A$107)+J107</f>
        <v>3566.0900742274539</v>
      </c>
      <c r="K108" s="1511">
        <f t="shared" si="77"/>
        <v>9185.6492543829336</v>
      </c>
      <c r="L108" s="1504">
        <f t="shared" si="28"/>
        <v>0.68153846153846187</v>
      </c>
      <c r="M108" s="1504">
        <f t="shared" si="29"/>
        <v>0.57492307692307676</v>
      </c>
      <c r="N108" s="1504">
        <f t="shared" si="30"/>
        <v>0.87107692307692264</v>
      </c>
      <c r="O108" s="1504">
        <f t="shared" si="31"/>
        <v>0.88461538461538436</v>
      </c>
      <c r="P108" s="1449">
        <f t="shared" si="32"/>
        <v>0.23600000000000002</v>
      </c>
      <c r="Q108" s="1508">
        <f t="shared" si="33"/>
        <v>248.60609946091267</v>
      </c>
      <c r="R108" s="1509">
        <f t="shared" si="34"/>
        <v>173.48506301356042</v>
      </c>
      <c r="S108" s="1509">
        <f t="shared" si="35"/>
        <v>508.03610967182658</v>
      </c>
      <c r="T108" s="1509">
        <f t="shared" si="36"/>
        <v>342.07971295872221</v>
      </c>
      <c r="U108" s="1511">
        <f t="shared" si="37"/>
        <v>0</v>
      </c>
      <c r="V108" s="1509">
        <f t="shared" si="38"/>
        <v>1272.2069851050219</v>
      </c>
      <c r="W108" s="1454">
        <f>W107</f>
        <v>0.5</v>
      </c>
      <c r="X108" s="530">
        <f t="shared" si="39"/>
        <v>3033.4854703020706</v>
      </c>
      <c r="Y108" s="1508">
        <f t="shared" si="78"/>
        <v>4305.692455407092</v>
      </c>
      <c r="Z108" s="1509">
        <f t="shared" si="79"/>
        <v>8446.046873203295</v>
      </c>
      <c r="AA108" s="1511">
        <f t="shared" si="80"/>
        <v>4879.9567989758416</v>
      </c>
      <c r="AB108" s="1091">
        <f t="shared" si="40"/>
        <v>0.57777998065088187</v>
      </c>
      <c r="AC108" s="135" t="str">
        <f t="shared" si="41"/>
        <v>Yes</v>
      </c>
      <c r="AD108" s="1091">
        <f t="shared" si="42"/>
        <v>0.57777998065088187</v>
      </c>
      <c r="AE108" s="649">
        <f t="shared" si="10"/>
        <v>0.26366335378378059</v>
      </c>
      <c r="AF108" s="530">
        <f t="shared" si="43"/>
        <v>312.40049312460883</v>
      </c>
      <c r="AG108" s="528">
        <f t="shared" si="44"/>
        <v>3566.0900742274539</v>
      </c>
      <c r="AH108" s="528">
        <f t="shared" si="81"/>
        <v>8793.8310253748859</v>
      </c>
      <c r="AI108" s="528">
        <f t="shared" si="82"/>
        <v>6437.6604656145792</v>
      </c>
      <c r="AJ108" s="528">
        <f t="shared" si="11"/>
        <v>1407.2822804818311</v>
      </c>
      <c r="AK108" s="528">
        <f t="shared" si="45"/>
        <v>20204.86384569875</v>
      </c>
      <c r="AL108" s="716">
        <f t="shared" si="12"/>
        <v>0</v>
      </c>
      <c r="AM108" s="417">
        <f t="shared" si="46"/>
        <v>0.17649661494683172</v>
      </c>
      <c r="AN108" s="417">
        <f t="shared" si="47"/>
        <v>0.43523337214900032</v>
      </c>
      <c r="AO108" s="417">
        <f t="shared" si="48"/>
        <v>0.31861934407368159</v>
      </c>
      <c r="AP108" s="417">
        <f t="shared" si="49"/>
        <v>6.9650668830486373E-2</v>
      </c>
      <c r="AQ108" s="417">
        <f t="shared" si="50"/>
        <v>1</v>
      </c>
      <c r="AR108" s="1086">
        <f t="shared" si="13"/>
        <v>727.5808817642037</v>
      </c>
      <c r="AS108" s="938">
        <f t="shared" si="14"/>
        <v>922.76939534528663</v>
      </c>
      <c r="AT108" s="938">
        <f t="shared" si="15"/>
        <v>212.68239320588384</v>
      </c>
      <c r="AU108" s="938">
        <f t="shared" si="16"/>
        <v>0</v>
      </c>
      <c r="AV108" s="938">
        <f t="shared" si="17"/>
        <v>0</v>
      </c>
      <c r="AW108" s="938">
        <f t="shared" si="18"/>
        <v>0</v>
      </c>
      <c r="AX108" s="938">
        <f t="shared" si="19"/>
        <v>1352.0208874197656</v>
      </c>
      <c r="AY108" s="938">
        <f t="shared" si="20"/>
        <v>122.22252761803277</v>
      </c>
      <c r="AZ108" s="938">
        <f t="shared" si="21"/>
        <v>69.613646514132526</v>
      </c>
      <c r="BA108" s="938">
        <f t="shared" si="22"/>
        <v>105.32819733151315</v>
      </c>
      <c r="BB108" s="938">
        <f t="shared" si="23"/>
        <v>53.872145028634442</v>
      </c>
      <c r="BC108" s="530">
        <f t="shared" si="51"/>
        <v>3566.090074227453</v>
      </c>
      <c r="BD108" s="724">
        <f t="shared" si="52"/>
        <v>0</v>
      </c>
      <c r="BE108" s="436">
        <f t="shared" si="53"/>
        <v>0.20402762314460737</v>
      </c>
      <c r="BF108" s="624">
        <f t="shared" si="54"/>
        <v>0.25876222308972174</v>
      </c>
      <c r="BG108" s="624">
        <f t="shared" si="55"/>
        <v>5.9640219057551069E-2</v>
      </c>
      <c r="BH108" s="624">
        <f t="shared" si="56"/>
        <v>0</v>
      </c>
      <c r="BI108" s="624">
        <f t="shared" si="57"/>
        <v>0</v>
      </c>
      <c r="BJ108" s="624">
        <f t="shared" si="58"/>
        <v>0</v>
      </c>
      <c r="BK108" s="624">
        <f t="shared" si="59"/>
        <v>0.4775699347081197</v>
      </c>
      <c r="BL108" s="624">
        <f t="shared" si="60"/>
        <v>0.99999999999999989</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94.618392890226815</v>
      </c>
      <c r="BW108" s="114">
        <f t="shared" si="63"/>
        <v>0.62849653314558029</v>
      </c>
      <c r="BX108" s="1689">
        <f t="shared" si="24"/>
        <v>48.438037819118328</v>
      </c>
      <c r="BY108" s="527">
        <f t="shared" si="64"/>
        <v>94.618392890226815</v>
      </c>
      <c r="BZ108" s="417">
        <f t="shared" si="65"/>
        <v>0.62849653314558029</v>
      </c>
      <c r="CA108" s="544">
        <f t="shared" si="25"/>
        <v>48.438037819118328</v>
      </c>
      <c r="CB108" s="649">
        <f t="shared" si="26"/>
        <v>0.26366335378378059</v>
      </c>
      <c r="CC108" s="525">
        <f t="shared" si="66"/>
        <v>0.30856267073802934</v>
      </c>
      <c r="CD108" s="417">
        <f t="shared" si="27"/>
        <v>0.26366335378378059</v>
      </c>
      <c r="CE108" s="525">
        <f t="shared" si="67"/>
        <v>0.30856267073802934</v>
      </c>
      <c r="CF108"/>
      <c r="CG108" s="527">
        <f t="shared" si="68"/>
        <v>1668.6742736543031</v>
      </c>
      <c r="CH108" s="528">
        <f t="shared" si="69"/>
        <v>723.16082596952128</v>
      </c>
      <c r="CI108" s="528">
        <f t="shared" si="70"/>
        <v>2781.9153316846123</v>
      </c>
      <c r="CJ108" s="528">
        <f t="shared" si="71"/>
        <v>3576.2879082048339</v>
      </c>
      <c r="CK108" s="528">
        <f t="shared" si="72"/>
        <v>43.792685861614679</v>
      </c>
      <c r="CL108" s="528">
        <f t="shared" si="73"/>
        <v>8793.8310253748841</v>
      </c>
      <c r="CM108" s="646">
        <f t="shared" si="74"/>
        <v>0</v>
      </c>
    </row>
    <row r="109" spans="1:91" s="4" customFormat="1">
      <c r="A109" s="150">
        <f>'Input data'!A129</f>
        <v>2029</v>
      </c>
      <c r="B109" s="1506">
        <f>'Input data'!B129</f>
        <v>65.31298905018393</v>
      </c>
      <c r="C109" s="1507">
        <f>'Input data'!C129</f>
        <v>5028.6283675846353</v>
      </c>
      <c r="D109" s="1507">
        <f>'Input data'!D129</f>
        <v>47172284.942566738</v>
      </c>
      <c r="E109" s="1455">
        <f t="shared" si="75"/>
        <v>0.97806153846153887</v>
      </c>
      <c r="F109" s="1449">
        <f t="shared" si="76"/>
        <v>0.36381538461538476</v>
      </c>
      <c r="G109" s="1554">
        <f>B109*F109*'Input data'!$C$9</f>
        <v>727.28171126107532</v>
      </c>
      <c r="H109" s="1549">
        <f>'Input data'!I129</f>
        <v>424.26313389388866</v>
      </c>
      <c r="I109" s="1557">
        <f>'Input data'!K129</f>
        <v>27709.893418408268</v>
      </c>
      <c r="J109" s="1557">
        <f t="shared" ref="J109:J111" si="86">($J$112-$J$107)/($A$112-$A$107)+J108</f>
        <v>3231.7691297686301</v>
      </c>
      <c r="K109" s="1511">
        <f t="shared" si="77"/>
        <v>9645.5295369350624</v>
      </c>
      <c r="L109" s="1504">
        <f t="shared" si="28"/>
        <v>0.69076923076923114</v>
      </c>
      <c r="M109" s="1504">
        <f t="shared" si="29"/>
        <v>0.58746153846153826</v>
      </c>
      <c r="N109" s="1504">
        <f t="shared" si="30"/>
        <v>0.88553846153846105</v>
      </c>
      <c r="O109" s="1504">
        <f t="shared" si="31"/>
        <v>0.89230769230769202</v>
      </c>
      <c r="P109" s="1449">
        <f t="shared" si="32"/>
        <v>0.23600000000000002</v>
      </c>
      <c r="Q109" s="1508">
        <f t="shared" si="33"/>
        <v>273.87707617034994</v>
      </c>
      <c r="R109" s="1509">
        <f t="shared" si="34"/>
        <v>191.11993599679636</v>
      </c>
      <c r="S109" s="1509">
        <f t="shared" si="35"/>
        <v>559.67832087625584</v>
      </c>
      <c r="T109" s="1509">
        <f t="shared" si="36"/>
        <v>376.85234515759566</v>
      </c>
      <c r="U109" s="1511">
        <f t="shared" si="37"/>
        <v>0</v>
      </c>
      <c r="V109" s="1509">
        <f t="shared" si="38"/>
        <v>1401.5276782009978</v>
      </c>
      <c r="W109" s="1454">
        <f t="shared" ref="W109:W130" si="87">W108</f>
        <v>0.5</v>
      </c>
      <c r="X109" s="530">
        <f t="shared" si="39"/>
        <v>3033.4854703020706</v>
      </c>
      <c r="Y109" s="1508">
        <f t="shared" si="78"/>
        <v>4435.0131485030688</v>
      </c>
      <c r="Z109" s="1509">
        <f t="shared" si="79"/>
        <v>8442.2855182006242</v>
      </c>
      <c r="AA109" s="1511">
        <f t="shared" si="80"/>
        <v>5210.5163884319936</v>
      </c>
      <c r="AB109" s="1091">
        <f t="shared" si="40"/>
        <v>0.61719262837044575</v>
      </c>
      <c r="AC109" s="135" t="str">
        <f t="shared" si="41"/>
        <v>Yes</v>
      </c>
      <c r="AD109" s="1091">
        <f t="shared" si="42"/>
        <v>0.61719262837044575</v>
      </c>
      <c r="AE109" s="649">
        <f t="shared" si="10"/>
        <v>0.27985563375052358</v>
      </c>
      <c r="AF109" s="530">
        <f t="shared" si="43"/>
        <v>305.53070568103118</v>
      </c>
      <c r="AG109" s="528">
        <f t="shared" si="44"/>
        <v>3231.7691297686301</v>
      </c>
      <c r="AH109" s="528">
        <f t="shared" si="81"/>
        <v>8997.2129983908544</v>
      </c>
      <c r="AI109" s="528">
        <f t="shared" si="82"/>
        <v>6437.6604656145792</v>
      </c>
      <c r="AJ109" s="528">
        <f t="shared" si="11"/>
        <v>1288.4810408660949</v>
      </c>
      <c r="AK109" s="528">
        <f t="shared" si="45"/>
        <v>19955.12363464016</v>
      </c>
      <c r="AL109" s="716">
        <f t="shared" si="12"/>
        <v>0</v>
      </c>
      <c r="AM109" s="417">
        <f t="shared" si="46"/>
        <v>0.161951847001268</v>
      </c>
      <c r="AN109" s="417">
        <f t="shared" si="47"/>
        <v>0.45087232547998674</v>
      </c>
      <c r="AO109" s="417">
        <f t="shared" si="48"/>
        <v>0.32260689452404218</v>
      </c>
      <c r="AP109" s="417">
        <f t="shared" si="49"/>
        <v>6.456893299470301E-2</v>
      </c>
      <c r="AQ109" s="417">
        <f t="shared" si="50"/>
        <v>1</v>
      </c>
      <c r="AR109" s="1086">
        <f t="shared" si="13"/>
        <v>671.20018188498921</v>
      </c>
      <c r="AS109" s="938">
        <f t="shared" si="14"/>
        <v>851.26341485479361</v>
      </c>
      <c r="AT109" s="938">
        <f t="shared" si="15"/>
        <v>185.99112990290195</v>
      </c>
      <c r="AU109" s="938">
        <f t="shared" si="16"/>
        <v>0</v>
      </c>
      <c r="AV109" s="938">
        <f t="shared" si="17"/>
        <v>0</v>
      </c>
      <c r="AW109" s="938">
        <f t="shared" si="18"/>
        <v>0</v>
      </c>
      <c r="AX109" s="938">
        <f t="shared" si="19"/>
        <v>1237.8847545063022</v>
      </c>
      <c r="AY109" s="938">
        <f t="shared" si="20"/>
        <v>105.80779139698581</v>
      </c>
      <c r="AZ109" s="938">
        <f t="shared" si="21"/>
        <v>45.882855936635217</v>
      </c>
      <c r="BA109" s="938">
        <f t="shared" si="22"/>
        <v>84.414684151566917</v>
      </c>
      <c r="BB109" s="938">
        <f t="shared" si="23"/>
        <v>49.324317134454468</v>
      </c>
      <c r="BC109" s="530">
        <f t="shared" si="51"/>
        <v>3231.7691297686292</v>
      </c>
      <c r="BD109" s="724">
        <f t="shared" si="52"/>
        <v>0</v>
      </c>
      <c r="BE109" s="436">
        <f t="shared" si="53"/>
        <v>0.20768815931261841</v>
      </c>
      <c r="BF109" s="624">
        <f t="shared" si="54"/>
        <v>0.26340477325982065</v>
      </c>
      <c r="BG109" s="624">
        <f t="shared" si="55"/>
        <v>5.7550871499356622E-2</v>
      </c>
      <c r="BH109" s="624">
        <f t="shared" si="56"/>
        <v>0</v>
      </c>
      <c r="BI109" s="624">
        <f t="shared" si="57"/>
        <v>0</v>
      </c>
      <c r="BJ109" s="624">
        <f t="shared" si="58"/>
        <v>0</v>
      </c>
      <c r="BK109" s="624">
        <f t="shared" si="59"/>
        <v>0.47135619592820438</v>
      </c>
      <c r="BL109" s="624">
        <f t="shared" si="60"/>
        <v>1</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93.663848789751768</v>
      </c>
      <c r="BW109" s="114">
        <f t="shared" si="63"/>
        <v>0.6502037763794668</v>
      </c>
      <c r="BX109" s="1689">
        <f t="shared" si="24"/>
        <v>47.172284942566741</v>
      </c>
      <c r="BY109" s="527">
        <f t="shared" si="64"/>
        <v>93.663848789751768</v>
      </c>
      <c r="BZ109" s="417">
        <f t="shared" si="65"/>
        <v>0.6502037763794668</v>
      </c>
      <c r="CA109" s="544">
        <f t="shared" si="25"/>
        <v>47.172284942566741</v>
      </c>
      <c r="CB109" s="649">
        <f t="shared" si="26"/>
        <v>0.27985563375052358</v>
      </c>
      <c r="CC109" s="525">
        <f t="shared" si="66"/>
        <v>0.31543238100002513</v>
      </c>
      <c r="CD109" s="417">
        <f t="shared" si="27"/>
        <v>0.27985563375052358</v>
      </c>
      <c r="CE109" s="525">
        <f t="shared" si="67"/>
        <v>0.31543238100002513</v>
      </c>
      <c r="CF109"/>
      <c r="CG109" s="527">
        <f t="shared" si="68"/>
        <v>1707.9278777845379</v>
      </c>
      <c r="CH109" s="528">
        <f t="shared" si="69"/>
        <v>746.2080527645885</v>
      </c>
      <c r="CI109" s="528">
        <f t="shared" si="70"/>
        <v>2855.9471763862912</v>
      </c>
      <c r="CJ109" s="528">
        <f t="shared" si="71"/>
        <v>3642.9060031901004</v>
      </c>
      <c r="CK109" s="528">
        <f t="shared" si="72"/>
        <v>44.223888265335049</v>
      </c>
      <c r="CL109" s="528">
        <f t="shared" si="73"/>
        <v>8997.2129983908526</v>
      </c>
      <c r="CM109" s="646">
        <f t="shared" si="74"/>
        <v>0</v>
      </c>
    </row>
    <row r="110" spans="1:91" s="464" customFormat="1">
      <c r="A110" s="150">
        <f>'Input data'!A130</f>
        <v>2030</v>
      </c>
      <c r="B110" s="1506">
        <f>'Input data'!B130</f>
        <v>65.956090000000003</v>
      </c>
      <c r="C110" s="1507">
        <f>'Input data'!C130</f>
        <v>5124.9200809700387</v>
      </c>
      <c r="D110" s="1507">
        <f>'Input data'!D130</f>
        <v>46124498.893218428</v>
      </c>
      <c r="E110" s="1455">
        <f>C53</f>
        <v>1</v>
      </c>
      <c r="F110" s="1449">
        <f>D53</f>
        <v>0.37</v>
      </c>
      <c r="G110" s="1554">
        <f>B110*F110*'Input data'!$C$9</f>
        <v>746.92788438679418</v>
      </c>
      <c r="H110" s="1549">
        <f>'Input data'!I130</f>
        <v>424.26313389388866</v>
      </c>
      <c r="I110" s="1557">
        <f>'Input data'!K130</f>
        <v>27982.737442787373</v>
      </c>
      <c r="J110" s="1557">
        <f t="shared" si="86"/>
        <v>2897.4481853098064</v>
      </c>
      <c r="K110" s="1511">
        <f t="shared" si="77"/>
        <v>10106.646132979506</v>
      </c>
      <c r="L110" s="1449">
        <f>C19</f>
        <v>0.7</v>
      </c>
      <c r="M110" s="1449">
        <f>D19</f>
        <v>0.6</v>
      </c>
      <c r="N110" s="1449">
        <f>E19</f>
        <v>0.9</v>
      </c>
      <c r="O110" s="1449">
        <f>F19</f>
        <v>0.9</v>
      </c>
      <c r="P110" s="1449">
        <f>G19</f>
        <v>0.23600000000000002</v>
      </c>
      <c r="Q110" s="1508">
        <f t="shared" si="33"/>
        <v>299.62160860317135</v>
      </c>
      <c r="R110" s="1509">
        <f t="shared" si="34"/>
        <v>209.08527088217454</v>
      </c>
      <c r="S110" s="1509">
        <f t="shared" si="35"/>
        <v>612.28826138396289</v>
      </c>
      <c r="T110" s="1509">
        <f t="shared" si="36"/>
        <v>412.27658568899597</v>
      </c>
      <c r="U110" s="1511">
        <f t="shared" si="37"/>
        <v>0</v>
      </c>
      <c r="V110" s="1509">
        <f t="shared" si="38"/>
        <v>1533.2717265583046</v>
      </c>
      <c r="W110" s="1454">
        <f t="shared" si="87"/>
        <v>0.5</v>
      </c>
      <c r="X110" s="530">
        <f t="shared" si="39"/>
        <v>3033.4854703020706</v>
      </c>
      <c r="Y110" s="1508">
        <f t="shared" si="78"/>
        <v>4566.7571968603752</v>
      </c>
      <c r="Z110" s="1509">
        <f t="shared" si="79"/>
        <v>8437.3371214289364</v>
      </c>
      <c r="AA110" s="1511">
        <f t="shared" si="80"/>
        <v>5539.8889361191304</v>
      </c>
      <c r="AB110" s="1091">
        <f t="shared" si="40"/>
        <v>0.65659210440330285</v>
      </c>
      <c r="AC110" s="135" t="str">
        <f t="shared" si="41"/>
        <v>Yes</v>
      </c>
      <c r="AD110" s="1091">
        <f t="shared" si="42"/>
        <v>0.65659210440330285</v>
      </c>
      <c r="AE110" s="649">
        <f t="shared" si="10"/>
        <v>0.29577637461695849</v>
      </c>
      <c r="AF110" s="530">
        <f t="shared" si="43"/>
        <v>298.77612226712506</v>
      </c>
      <c r="AG110" s="528">
        <f t="shared" si="44"/>
        <v>2897.4481853098064</v>
      </c>
      <c r="AH110" s="528">
        <f t="shared" si="81"/>
        <v>9203.7475672090277</v>
      </c>
      <c r="AI110" s="528">
        <f t="shared" si="82"/>
        <v>6437.6604656145792</v>
      </c>
      <c r="AJ110" s="528">
        <f t="shared" si="11"/>
        <v>1167.2485919680901</v>
      </c>
      <c r="AK110" s="528">
        <f t="shared" si="45"/>
        <v>19706.104810101504</v>
      </c>
      <c r="AL110" s="716">
        <f t="shared" si="12"/>
        <v>0</v>
      </c>
      <c r="AM110" s="417">
        <f t="shared" si="46"/>
        <v>0.1470330241938301</v>
      </c>
      <c r="AN110" s="417">
        <f t="shared" si="47"/>
        <v>0.46705057422058949</v>
      </c>
      <c r="AO110" s="417">
        <f t="shared" si="48"/>
        <v>0.32668355962029511</v>
      </c>
      <c r="AP110" s="417">
        <f t="shared" si="49"/>
        <v>5.9232841965285256E-2</v>
      </c>
      <c r="AQ110" s="417">
        <f t="shared" si="50"/>
        <v>1</v>
      </c>
      <c r="AR110" s="1086">
        <f t="shared" si="13"/>
        <v>612.56940461047054</v>
      </c>
      <c r="AS110" s="938">
        <f t="shared" si="14"/>
        <v>776.90372749873484</v>
      </c>
      <c r="AT110" s="938">
        <f t="shared" si="15"/>
        <v>160.57652818153852</v>
      </c>
      <c r="AU110" s="938">
        <f t="shared" si="16"/>
        <v>0</v>
      </c>
      <c r="AV110" s="938">
        <f t="shared" si="17"/>
        <v>0</v>
      </c>
      <c r="AW110" s="938">
        <f t="shared" si="18"/>
        <v>0</v>
      </c>
      <c r="AX110" s="938">
        <f t="shared" si="19"/>
        <v>1121.4128814382834</v>
      </c>
      <c r="AY110" s="938">
        <f t="shared" si="20"/>
        <v>90.329201598007003</v>
      </c>
      <c r="AZ110" s="938">
        <f t="shared" si="21"/>
        <v>25.391562301128037</v>
      </c>
      <c r="BA110" s="938">
        <f t="shared" si="22"/>
        <v>65.581459515614853</v>
      </c>
      <c r="BB110" s="938">
        <f t="shared" si="23"/>
        <v>44.683420166026991</v>
      </c>
      <c r="BC110" s="530">
        <f t="shared" si="51"/>
        <v>2897.4481853098041</v>
      </c>
      <c r="BD110" s="724">
        <f t="shared" si="52"/>
        <v>0</v>
      </c>
      <c r="BE110" s="436">
        <f t="shared" si="53"/>
        <v>0.21141686250550593</v>
      </c>
      <c r="BF110" s="624">
        <f t="shared" si="54"/>
        <v>0.26813377765913904</v>
      </c>
      <c r="BG110" s="624">
        <f t="shared" si="55"/>
        <v>5.541998265772928E-2</v>
      </c>
      <c r="BH110" s="624">
        <f t="shared" si="56"/>
        <v>0</v>
      </c>
      <c r="BI110" s="624">
        <f t="shared" si="57"/>
        <v>0</v>
      </c>
      <c r="BJ110" s="624">
        <f t="shared" si="58"/>
        <v>0</v>
      </c>
      <c r="BK110" s="624">
        <f t="shared" si="59"/>
        <v>0.46502937717762582</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92.860784104534616</v>
      </c>
      <c r="BW110" s="114">
        <f t="shared" si="63"/>
        <v>0.67077439829901286</v>
      </c>
      <c r="BX110" s="1689">
        <f t="shared" si="24"/>
        <v>46.12449889321843</v>
      </c>
      <c r="BY110" s="527">
        <f t="shared" si="64"/>
        <v>92.860784104534616</v>
      </c>
      <c r="BZ110" s="417">
        <f t="shared" si="65"/>
        <v>0.67077439829901286</v>
      </c>
      <c r="CA110" s="544">
        <f t="shared" si="25"/>
        <v>46.12449889321843</v>
      </c>
      <c r="CB110" s="649">
        <f t="shared" si="26"/>
        <v>0.29577637461695849</v>
      </c>
      <c r="CC110" s="525">
        <f t="shared" si="66"/>
        <v>0.32127590239026171</v>
      </c>
      <c r="CD110" s="417">
        <f t="shared" si="27"/>
        <v>0.29577637461695849</v>
      </c>
      <c r="CE110" s="525">
        <f t="shared" si="67"/>
        <v>0.32127590239026171</v>
      </c>
      <c r="CF110" s="1"/>
      <c r="CG110" s="527">
        <f t="shared" si="68"/>
        <v>1747.7927168518324</v>
      </c>
      <c r="CH110" s="528">
        <f t="shared" si="69"/>
        <v>769.63903392211466</v>
      </c>
      <c r="CI110" s="528">
        <f t="shared" si="70"/>
        <v>2931.1672087530142</v>
      </c>
      <c r="CJ110" s="528">
        <f t="shared" si="71"/>
        <v>3710.4892712009678</v>
      </c>
      <c r="CK110" s="528">
        <f t="shared" si="72"/>
        <v>44.65933648109722</v>
      </c>
      <c r="CL110" s="528">
        <f t="shared" si="73"/>
        <v>9203.7475672090259</v>
      </c>
      <c r="CM110" s="646">
        <f t="shared" si="74"/>
        <v>0</v>
      </c>
    </row>
    <row r="111" spans="1:91" s="4" customFormat="1">
      <c r="A111" s="150">
        <f>'Input data'!A131</f>
        <v>2031</v>
      </c>
      <c r="B111" s="1506">
        <f>'Input data'!B131</f>
        <v>66.518977190687664</v>
      </c>
      <c r="C111" s="1507">
        <f>'Input data'!C131</f>
        <v>5062.3234119259168</v>
      </c>
      <c r="D111" s="1507">
        <f>'Input data'!D131</f>
        <v>43997076.132191785</v>
      </c>
      <c r="E111" s="1455">
        <f>E110</f>
        <v>1</v>
      </c>
      <c r="F111" s="1449">
        <f>F110</f>
        <v>0.37</v>
      </c>
      <c r="G111" s="1554">
        <f>B111*F111*'Input data'!$C$9</f>
        <v>753.30236987386229</v>
      </c>
      <c r="H111" s="1549">
        <f>'Input data'!I131</f>
        <v>424.26313389388866</v>
      </c>
      <c r="I111" s="1557">
        <f>'Input data'!K131</f>
        <v>28221.549726337245</v>
      </c>
      <c r="J111" s="1557">
        <f t="shared" si="86"/>
        <v>2563.1272408509826</v>
      </c>
      <c r="K111" s="1511">
        <f t="shared" si="77"/>
        <v>10551.947551239295</v>
      </c>
      <c r="L111" s="1449">
        <f>L110</f>
        <v>0.7</v>
      </c>
      <c r="M111" s="1449">
        <f t="shared" ref="M111:P126" si="88">M110</f>
        <v>0.6</v>
      </c>
      <c r="N111" s="1449">
        <f t="shared" si="88"/>
        <v>0.9</v>
      </c>
      <c r="O111" s="1449">
        <f t="shared" si="88"/>
        <v>0.9</v>
      </c>
      <c r="P111" s="1449">
        <f t="shared" si="88"/>
        <v>0.23600000000000002</v>
      </c>
      <c r="Q111" s="1508">
        <f t="shared" si="33"/>
        <v>302.1786608107227</v>
      </c>
      <c r="R111" s="1509">
        <f t="shared" si="34"/>
        <v>210.86966138714581</v>
      </c>
      <c r="S111" s="1509">
        <f t="shared" si="35"/>
        <v>617.51369575009085</v>
      </c>
      <c r="T111" s="1509">
        <f t="shared" si="36"/>
        <v>415.79506607655048</v>
      </c>
      <c r="U111" s="1511">
        <f t="shared" si="37"/>
        <v>0</v>
      </c>
      <c r="V111" s="1509">
        <f t="shared" si="38"/>
        <v>1546.3570840245097</v>
      </c>
      <c r="W111" s="1454">
        <f t="shared" si="87"/>
        <v>0.5</v>
      </c>
      <c r="X111" s="530">
        <f t="shared" si="39"/>
        <v>3033.4854703020706</v>
      </c>
      <c r="Y111" s="1508">
        <f t="shared" si="78"/>
        <v>4579.8425543265803</v>
      </c>
      <c r="Z111" s="1509">
        <f t="shared" si="79"/>
        <v>8535.2322377636974</v>
      </c>
      <c r="AA111" s="1511">
        <f t="shared" si="80"/>
        <v>5972.1049969127143</v>
      </c>
      <c r="AB111" s="1091">
        <f t="shared" si="40"/>
        <v>0.69970035150179533</v>
      </c>
      <c r="AC111" s="135" t="str">
        <f t="shared" si="41"/>
        <v>Yes</v>
      </c>
      <c r="AD111" s="1091">
        <f t="shared" si="42"/>
        <v>0.69970035150179533</v>
      </c>
      <c r="AE111" s="649">
        <f t="shared" si="10"/>
        <v>0.31568192095747505</v>
      </c>
      <c r="AF111" s="530">
        <f t="shared" si="43"/>
        <v>290.33093279482745</v>
      </c>
      <c r="AG111" s="528">
        <f t="shared" si="44"/>
        <v>2563.1272408509826</v>
      </c>
      <c r="AH111" s="528">
        <f t="shared" si="81"/>
        <v>9282.2948493766726</v>
      </c>
      <c r="AI111" s="528">
        <f t="shared" si="82"/>
        <v>6437.6604656145792</v>
      </c>
      <c r="AJ111" s="528">
        <f t="shared" si="11"/>
        <v>1029.4341404879635</v>
      </c>
      <c r="AK111" s="528">
        <f t="shared" si="45"/>
        <v>19312.5166963302</v>
      </c>
      <c r="AL111" s="716">
        <f t="shared" si="12"/>
        <v>0</v>
      </c>
      <c r="AM111" s="417">
        <f t="shared" si="46"/>
        <v>0.1327184478933309</v>
      </c>
      <c r="AN111" s="417">
        <f t="shared" si="47"/>
        <v>0.48063621097816378</v>
      </c>
      <c r="AO111" s="417">
        <f t="shared" si="48"/>
        <v>0.33334135404723692</v>
      </c>
      <c r="AP111" s="417">
        <f t="shared" si="49"/>
        <v>5.3303987081268309E-2</v>
      </c>
      <c r="AQ111" s="417">
        <f t="shared" si="50"/>
        <v>0.99999999999999989</v>
      </c>
      <c r="AR111" s="1086">
        <f t="shared" si="13"/>
        <v>543.67212223260026</v>
      </c>
      <c r="AS111" s="938">
        <f t="shared" si="14"/>
        <v>689.52333420609659</v>
      </c>
      <c r="AT111" s="938">
        <f t="shared" si="15"/>
        <v>141.61761377016282</v>
      </c>
      <c r="AU111" s="938">
        <f t="shared" si="16"/>
        <v>0</v>
      </c>
      <c r="AV111" s="938">
        <f t="shared" si="17"/>
        <v>0</v>
      </c>
      <c r="AW111" s="938">
        <f t="shared" si="18"/>
        <v>0</v>
      </c>
      <c r="AX111" s="938">
        <f t="shared" si="19"/>
        <v>989.01015060475595</v>
      </c>
      <c r="AY111" s="938">
        <f t="shared" si="20"/>
        <v>79.664233178659885</v>
      </c>
      <c r="AZ111" s="938">
        <f t="shared" si="21"/>
        <v>22.393636876473515</v>
      </c>
      <c r="BA111" s="938">
        <f t="shared" si="22"/>
        <v>57.83840209613961</v>
      </c>
      <c r="BB111" s="938">
        <f t="shared" si="23"/>
        <v>39.407747886093858</v>
      </c>
      <c r="BC111" s="530">
        <f t="shared" si="51"/>
        <v>2563.1272408509826</v>
      </c>
      <c r="BD111" s="724">
        <f t="shared" si="52"/>
        <v>0</v>
      </c>
      <c r="BE111" s="436">
        <f t="shared" si="53"/>
        <v>0.21211281030749607</v>
      </c>
      <c r="BF111" s="624">
        <f t="shared" si="54"/>
        <v>0.26901642775142459</v>
      </c>
      <c r="BG111" s="624">
        <f t="shared" si="55"/>
        <v>5.525188586546504E-2</v>
      </c>
      <c r="BH111" s="624">
        <f t="shared" si="56"/>
        <v>0</v>
      </c>
      <c r="BI111" s="624">
        <f t="shared" si="57"/>
        <v>0</v>
      </c>
      <c r="BJ111" s="624">
        <f t="shared" si="58"/>
        <v>0</v>
      </c>
      <c r="BK111" s="624">
        <f t="shared" si="59"/>
        <v>0.46361887607561419</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90.018805930502452</v>
      </c>
      <c r="BW111" s="114">
        <f t="shared" si="63"/>
        <v>0.67827419369986763</v>
      </c>
      <c r="BX111" s="1689">
        <f t="shared" si="24"/>
        <v>43.997076132191786</v>
      </c>
      <c r="BY111" s="527">
        <f t="shared" si="64"/>
        <v>90.018805930502452</v>
      </c>
      <c r="BZ111" s="417">
        <f t="shared" si="65"/>
        <v>0.67827419369986763</v>
      </c>
      <c r="CA111" s="544">
        <f t="shared" si="25"/>
        <v>43.997076132191786</v>
      </c>
      <c r="CB111" s="649">
        <f t="shared" si="26"/>
        <v>0.31568192095747505</v>
      </c>
      <c r="CC111" s="525">
        <f t="shared" si="66"/>
        <v>0.32597845323728303</v>
      </c>
      <c r="CD111" s="417">
        <f t="shared" si="27"/>
        <v>0.31568192095747505</v>
      </c>
      <c r="CE111" s="525">
        <f t="shared" si="67"/>
        <v>0.32597845323728303</v>
      </c>
      <c r="CF111"/>
      <c r="CG111" s="527">
        <f t="shared" si="68"/>
        <v>1762.7088547292153</v>
      </c>
      <c r="CH111" s="528">
        <f t="shared" si="69"/>
        <v>776.20734252937109</v>
      </c>
      <c r="CI111" s="528">
        <f t="shared" si="70"/>
        <v>2956.1825860376707</v>
      </c>
      <c r="CJ111" s="528">
        <f t="shared" si="71"/>
        <v>3742.1555946889584</v>
      </c>
      <c r="CK111" s="528">
        <f t="shared" si="72"/>
        <v>45.040471391456826</v>
      </c>
      <c r="CL111" s="528">
        <f t="shared" si="73"/>
        <v>9282.2948493766726</v>
      </c>
      <c r="CM111" s="646">
        <f t="shared" si="74"/>
        <v>0</v>
      </c>
    </row>
    <row r="112" spans="1:91" s="4" customFormat="1">
      <c r="A112" s="150">
        <f>'Input data'!A132</f>
        <v>2032</v>
      </c>
      <c r="B112" s="1506">
        <f>'Input data'!B132</f>
        <v>67.08666821358311</v>
      </c>
      <c r="C112" s="1507">
        <f>'Input data'!C132</f>
        <v>5235.9881649481622</v>
      </c>
      <c r="D112" s="1507">
        <f>'Input data'!D132</f>
        <v>43370376.757557131</v>
      </c>
      <c r="E112" s="1455">
        <f t="shared" ref="E112:F127" si="89">E111</f>
        <v>1</v>
      </c>
      <c r="F112" s="1449">
        <f t="shared" si="89"/>
        <v>0.37</v>
      </c>
      <c r="G112" s="1554">
        <f>B112*F112*'Input data'!$C$9</f>
        <v>759.73125695186627</v>
      </c>
      <c r="H112" s="1549">
        <f>'Input data'!I132</f>
        <v>424.26313389388866</v>
      </c>
      <c r="I112" s="1557">
        <f>'Input data'!K132</f>
        <v>28462.400098794296</v>
      </c>
      <c r="J112" s="1557">
        <f>J97*(1-$G$6)</f>
        <v>2228.8062963921584</v>
      </c>
      <c r="K112" s="1511">
        <f t="shared" si="77"/>
        <v>10998.19610701314</v>
      </c>
      <c r="L112" s="1449">
        <f>C20</f>
        <v>0.7</v>
      </c>
      <c r="M112" s="1449">
        <f>D20</f>
        <v>0.6</v>
      </c>
      <c r="N112" s="1449">
        <f t="shared" si="88"/>
        <v>0.9</v>
      </c>
      <c r="O112" s="1449">
        <f t="shared" si="88"/>
        <v>0.9</v>
      </c>
      <c r="P112" s="1449">
        <f t="shared" si="88"/>
        <v>0.23600000000000002</v>
      </c>
      <c r="Q112" s="1508">
        <f t="shared" si="33"/>
        <v>304.75753559650093</v>
      </c>
      <c r="R112" s="1509">
        <f t="shared" si="34"/>
        <v>212.66928036546119</v>
      </c>
      <c r="S112" s="1509">
        <f t="shared" si="35"/>
        <v>622.7837253927205</v>
      </c>
      <c r="T112" s="1509">
        <f t="shared" si="36"/>
        <v>419.34357413161615</v>
      </c>
      <c r="U112" s="1511">
        <f t="shared" si="37"/>
        <v>0</v>
      </c>
      <c r="V112" s="1509">
        <f t="shared" si="38"/>
        <v>1559.5541154862988</v>
      </c>
      <c r="W112" s="1454">
        <f t="shared" si="87"/>
        <v>0.5</v>
      </c>
      <c r="X112" s="530">
        <f t="shared" si="39"/>
        <v>3033.4854703020706</v>
      </c>
      <c r="Y112" s="1508">
        <f t="shared" si="78"/>
        <v>4593.0395857883695</v>
      </c>
      <c r="Z112" s="1509">
        <f t="shared" si="79"/>
        <v>8633.9628176169281</v>
      </c>
      <c r="AA112" s="1511">
        <f t="shared" si="80"/>
        <v>6405.1565212247697</v>
      </c>
      <c r="AB112" s="1091">
        <f t="shared" si="40"/>
        <v>0.74185593064583821</v>
      </c>
      <c r="AC112" s="135" t="str">
        <f t="shared" si="41"/>
        <v>Yes</v>
      </c>
      <c r="AD112" s="1091">
        <f t="shared" si="42"/>
        <v>0.74185593064583821</v>
      </c>
      <c r="AE112" s="649">
        <f t="shared" si="10"/>
        <v>0.33524737223917422</v>
      </c>
      <c r="AF112" s="530">
        <f t="shared" si="43"/>
        <v>282.03003311800558</v>
      </c>
      <c r="AG112" s="528">
        <f t="shared" si="44"/>
        <v>2228.8062963921584</v>
      </c>
      <c r="AH112" s="528">
        <f t="shared" si="81"/>
        <v>9361.5124753896816</v>
      </c>
      <c r="AI112" s="528">
        <f t="shared" si="82"/>
        <v>6437.6604656145792</v>
      </c>
      <c r="AJ112" s="528">
        <f t="shared" si="11"/>
        <v>892.47602065707667</v>
      </c>
      <c r="AK112" s="528">
        <f t="shared" si="45"/>
        <v>18920.455258053495</v>
      </c>
      <c r="AL112" s="716">
        <f t="shared" si="12"/>
        <v>0</v>
      </c>
      <c r="AM112" s="417">
        <f t="shared" si="46"/>
        <v>0.117798766784085</v>
      </c>
      <c r="AN112" s="417">
        <f t="shared" si="47"/>
        <v>0.49478262270697487</v>
      </c>
      <c r="AO112" s="417">
        <f t="shared" si="48"/>
        <v>0.34024870849100675</v>
      </c>
      <c r="AP112" s="417">
        <f t="shared" si="49"/>
        <v>4.7169902017933425E-2</v>
      </c>
      <c r="AQ112" s="417">
        <f t="shared" si="50"/>
        <v>1</v>
      </c>
      <c r="AR112" s="1086">
        <f t="shared" si="13"/>
        <v>474.28711157023099</v>
      </c>
      <c r="AS112" s="938">
        <f t="shared" si="14"/>
        <v>601.52436950035451</v>
      </c>
      <c r="AT112" s="938">
        <f t="shared" si="15"/>
        <v>122.77650353876473</v>
      </c>
      <c r="AU112" s="938">
        <f t="shared" si="16"/>
        <v>0</v>
      </c>
      <c r="AV112" s="938">
        <f t="shared" si="17"/>
        <v>0</v>
      </c>
      <c r="AW112" s="938">
        <f t="shared" si="18"/>
        <v>0</v>
      </c>
      <c r="AX112" s="938">
        <f t="shared" si="19"/>
        <v>857.43012484780604</v>
      </c>
      <c r="AY112" s="938">
        <f t="shared" si="20"/>
        <v>69.065533208648347</v>
      </c>
      <c r="AZ112" s="938">
        <f t="shared" si="21"/>
        <v>19.414339530337624</v>
      </c>
      <c r="BA112" s="938">
        <f t="shared" si="22"/>
        <v>50.14345737499864</v>
      </c>
      <c r="BB112" s="938">
        <f t="shared" si="23"/>
        <v>34.164856821017388</v>
      </c>
      <c r="BC112" s="530">
        <f t="shared" si="51"/>
        <v>2228.8062963921584</v>
      </c>
      <c r="BD112" s="724">
        <f t="shared" si="52"/>
        <v>0</v>
      </c>
      <c r="BE112" s="436">
        <f t="shared" si="53"/>
        <v>0.21279871307702919</v>
      </c>
      <c r="BF112" s="624">
        <f t="shared" si="54"/>
        <v>0.26988633802500545</v>
      </c>
      <c r="BG112" s="624">
        <f t="shared" si="55"/>
        <v>5.5086215315124989E-2</v>
      </c>
      <c r="BH112" s="624">
        <f t="shared" si="56"/>
        <v>0</v>
      </c>
      <c r="BI112" s="624">
        <f t="shared" si="57"/>
        <v>0</v>
      </c>
      <c r="BJ112" s="624">
        <f t="shared" si="58"/>
        <v>0</v>
      </c>
      <c r="BK112" s="624">
        <f t="shared" si="59"/>
        <v>0.46222873358284033</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89.890519125248531</v>
      </c>
      <c r="BW112" s="114">
        <f t="shared" si="63"/>
        <v>0.68571733008279778</v>
      </c>
      <c r="BX112" s="1689">
        <f t="shared" si="24"/>
        <v>43.370376757557132</v>
      </c>
      <c r="BY112" s="527">
        <f t="shared" si="64"/>
        <v>89.890519125248531</v>
      </c>
      <c r="BZ112" s="417">
        <f t="shared" si="65"/>
        <v>0.68571733008279778</v>
      </c>
      <c r="CA112" s="544">
        <f t="shared" si="25"/>
        <v>43.370376757557132</v>
      </c>
      <c r="CB112" s="649">
        <f t="shared" si="26"/>
        <v>0.33524737223917422</v>
      </c>
      <c r="CC112" s="525">
        <f t="shared" si="66"/>
        <v>0.33276731563826367</v>
      </c>
      <c r="CD112" s="417">
        <f t="shared" si="27"/>
        <v>0.33524737223917422</v>
      </c>
      <c r="CE112" s="525">
        <f t="shared" si="67"/>
        <v>0.33276731563826367</v>
      </c>
      <c r="CF112"/>
      <c r="CG112" s="527">
        <f t="shared" si="68"/>
        <v>1777.7522909795882</v>
      </c>
      <c r="CH112" s="528">
        <f t="shared" si="69"/>
        <v>782.83170686672827</v>
      </c>
      <c r="CI112" s="528">
        <f t="shared" si="70"/>
        <v>2981.4114513481313</v>
      </c>
      <c r="CJ112" s="528">
        <f t="shared" si="71"/>
        <v>3774.0921671845485</v>
      </c>
      <c r="CK112" s="528">
        <f t="shared" si="72"/>
        <v>45.424859010686319</v>
      </c>
      <c r="CL112" s="528">
        <f t="shared" si="73"/>
        <v>9361.5124753896835</v>
      </c>
      <c r="CM112" s="646">
        <f t="shared" si="74"/>
        <v>0</v>
      </c>
    </row>
    <row r="113" spans="1:91">
      <c r="A113" s="873">
        <f>'Input data'!A133</f>
        <v>2033</v>
      </c>
      <c r="B113" s="1551">
        <f>'Input data'!B133</f>
        <v>67.659204065895452</v>
      </c>
      <c r="C113" s="1550">
        <f>'Input data'!C133</f>
        <v>5403.9196893114931</v>
      </c>
      <c r="D113" s="1550">
        <f>'Input data'!D133</f>
        <v>42244930.407056943</v>
      </c>
      <c r="E113" s="1455">
        <f t="shared" si="89"/>
        <v>1</v>
      </c>
      <c r="F113" s="1449">
        <f t="shared" si="89"/>
        <v>0.37</v>
      </c>
      <c r="G113" s="1554">
        <f>B113*F113*'Input data'!$C$9</f>
        <v>766.21500989876245</v>
      </c>
      <c r="H113" s="1542">
        <f>'Input data'!I133</f>
        <v>424.26313389388866</v>
      </c>
      <c r="I113" s="1509">
        <f>'Input data'!K133</f>
        <v>28705.305953762938</v>
      </c>
      <c r="J113" s="1509">
        <f>J112</f>
        <v>2228.8062963921584</v>
      </c>
      <c r="K113" s="1511">
        <f t="shared" si="77"/>
        <v>11111.078938971066</v>
      </c>
      <c r="L113" s="1504">
        <f t="shared" ref="L113:P127" si="90">L112</f>
        <v>0.7</v>
      </c>
      <c r="M113" s="1504">
        <f t="shared" si="88"/>
        <v>0.6</v>
      </c>
      <c r="N113" s="1504">
        <f t="shared" si="88"/>
        <v>0.9</v>
      </c>
      <c r="O113" s="1504">
        <f t="shared" si="88"/>
        <v>0.9</v>
      </c>
      <c r="P113" s="1504">
        <f t="shared" si="88"/>
        <v>0.23600000000000002</v>
      </c>
      <c r="Q113" s="1508">
        <f t="shared" si="33"/>
        <v>307.35841920031703</v>
      </c>
      <c r="R113" s="1509">
        <f t="shared" si="34"/>
        <v>214.484257781049</v>
      </c>
      <c r="S113" s="1509">
        <f t="shared" si="35"/>
        <v>628.09873090005567</v>
      </c>
      <c r="T113" s="1509">
        <f t="shared" si="36"/>
        <v>422.92236611846511</v>
      </c>
      <c r="U113" s="1511">
        <f t="shared" si="37"/>
        <v>0</v>
      </c>
      <c r="V113" s="1509">
        <f t="shared" si="38"/>
        <v>1572.8637739998867</v>
      </c>
      <c r="W113" s="1454">
        <f t="shared" si="87"/>
        <v>0.5</v>
      </c>
      <c r="X113" s="530">
        <f t="shared" si="39"/>
        <v>3033.4854703020706</v>
      </c>
      <c r="Y113" s="1508">
        <f t="shared" si="78"/>
        <v>4606.3492443019568</v>
      </c>
      <c r="Z113" s="1509">
        <f t="shared" si="79"/>
        <v>8733.5359910612679</v>
      </c>
      <c r="AA113" s="1511">
        <f t="shared" si="80"/>
        <v>6504.7296946691094</v>
      </c>
      <c r="AB113" s="1091">
        <f t="shared" si="40"/>
        <v>0.74479909412712897</v>
      </c>
      <c r="AC113" s="135" t="str">
        <f t="shared" si="41"/>
        <v>Yes</v>
      </c>
      <c r="AD113" s="1091">
        <f t="shared" si="42"/>
        <v>0.74479909412712897</v>
      </c>
      <c r="AE113" s="649">
        <f t="shared" si="10"/>
        <v>0.33818146943254268</v>
      </c>
      <c r="AF113" s="530">
        <f t="shared" si="43"/>
        <v>280.78520384759781</v>
      </c>
      <c r="AG113" s="528">
        <f t="shared" si="44"/>
        <v>2228.8062963921584</v>
      </c>
      <c r="AH113" s="528">
        <f t="shared" si="81"/>
        <v>9441.4061661445412</v>
      </c>
      <c r="AI113" s="528">
        <f t="shared" si="82"/>
        <v>6437.6604656145792</v>
      </c>
      <c r="AJ113" s="528">
        <f t="shared" si="11"/>
        <v>889.83047765739286</v>
      </c>
      <c r="AK113" s="528">
        <f t="shared" si="45"/>
        <v>18997.703405808672</v>
      </c>
      <c r="AL113" s="716">
        <f t="shared" si="12"/>
        <v>0</v>
      </c>
      <c r="AM113" s="417">
        <f t="shared" si="46"/>
        <v>0.11731977538457024</v>
      </c>
      <c r="AN113" s="417">
        <f t="shared" si="47"/>
        <v>0.49697618519814185</v>
      </c>
      <c r="AO113" s="417">
        <f t="shared" si="48"/>
        <v>0.33886519481329636</v>
      </c>
      <c r="AP113" s="417">
        <f t="shared" si="49"/>
        <v>4.6838844603991521E-2</v>
      </c>
      <c r="AQ113" s="417">
        <f t="shared" si="50"/>
        <v>1</v>
      </c>
      <c r="AR113" s="1086">
        <f t="shared" si="13"/>
        <v>475.79389477735378</v>
      </c>
      <c r="AS113" s="938">
        <f t="shared" si="14"/>
        <v>603.43537824701332</v>
      </c>
      <c r="AT113" s="938">
        <f t="shared" si="15"/>
        <v>122.41256040534195</v>
      </c>
      <c r="AU113" s="938">
        <f t="shared" si="16"/>
        <v>0</v>
      </c>
      <c r="AV113" s="938">
        <f t="shared" si="17"/>
        <v>0</v>
      </c>
      <c r="AW113" s="938">
        <f t="shared" si="18"/>
        <v>0</v>
      </c>
      <c r="AX113" s="938">
        <f t="shared" si="19"/>
        <v>854.88846746765705</v>
      </c>
      <c r="AY113" s="938">
        <f t="shared" si="20"/>
        <v>68.860804080167085</v>
      </c>
      <c r="AZ113" s="938">
        <f t="shared" si="21"/>
        <v>19.356790118533684</v>
      </c>
      <c r="BA113" s="938">
        <f t="shared" si="22"/>
        <v>49.994818454099921</v>
      </c>
      <c r="BB113" s="938">
        <f t="shared" si="23"/>
        <v>34.063582841990474</v>
      </c>
      <c r="BC113" s="530">
        <f t="shared" si="51"/>
        <v>2228.806296392157</v>
      </c>
      <c r="BD113" s="724">
        <f t="shared" si="52"/>
        <v>0</v>
      </c>
      <c r="BE113" s="436">
        <f t="shared" si="53"/>
        <v>0.21347476249844466</v>
      </c>
      <c r="BF113" s="624">
        <f t="shared" si="54"/>
        <v>0.27074375158748171</v>
      </c>
      <c r="BG113" s="624">
        <f t="shared" si="55"/>
        <v>5.492292470794579E-2</v>
      </c>
      <c r="BH113" s="624">
        <f t="shared" si="56"/>
        <v>0</v>
      </c>
      <c r="BI113" s="624">
        <f t="shared" si="57"/>
        <v>0</v>
      </c>
      <c r="BJ113" s="624">
        <f t="shared" si="58"/>
        <v>0</v>
      </c>
      <c r="BK113" s="624">
        <f t="shared" si="59"/>
        <v>0.46085856120612789</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89.703397536551293</v>
      </c>
      <c r="BW113" s="114">
        <f t="shared" si="63"/>
        <v>0.69258951948403003</v>
      </c>
      <c r="BX113" s="1689">
        <f t="shared" si="24"/>
        <v>42.244930407056941</v>
      </c>
      <c r="BY113" s="527">
        <f t="shared" si="64"/>
        <v>89.703397536551293</v>
      </c>
      <c r="BZ113" s="417">
        <f t="shared" si="65"/>
        <v>0.69258951948403003</v>
      </c>
      <c r="CA113" s="544">
        <f t="shared" si="25"/>
        <v>42.244930407056941</v>
      </c>
      <c r="CB113" s="649">
        <f t="shared" si="26"/>
        <v>0.33818146943254268</v>
      </c>
      <c r="CC113" s="525">
        <f t="shared" si="66"/>
        <v>0.34079928228707201</v>
      </c>
      <c r="CD113" s="417">
        <f t="shared" si="27"/>
        <v>0.33818146943254268</v>
      </c>
      <c r="CE113" s="525">
        <f t="shared" si="67"/>
        <v>0.34079928228707201</v>
      </c>
      <c r="CG113" s="527">
        <f t="shared" si="68"/>
        <v>1792.9241120018478</v>
      </c>
      <c r="CH113" s="528">
        <f t="shared" si="69"/>
        <v>789.51260532901495</v>
      </c>
      <c r="CI113" s="528">
        <f t="shared" si="70"/>
        <v>3006.8556266492046</v>
      </c>
      <c r="CJ113" s="528">
        <f t="shared" si="71"/>
        <v>3806.3012950661869</v>
      </c>
      <c r="CK113" s="528">
        <f t="shared" si="72"/>
        <v>45.81252709828685</v>
      </c>
      <c r="CL113" s="528">
        <f t="shared" si="73"/>
        <v>9441.4061661445412</v>
      </c>
      <c r="CM113" s="646">
        <f t="shared" si="74"/>
        <v>0</v>
      </c>
    </row>
    <row r="114" spans="1:91">
      <c r="A114" s="873">
        <f>'Input data'!A134</f>
        <v>2034</v>
      </c>
      <c r="B114" s="1551">
        <f>'Input data'!B134</f>
        <v>68.236626094715163</v>
      </c>
      <c r="C114" s="1550">
        <f>'Input data'!C134</f>
        <v>5610.4237500420486</v>
      </c>
      <c r="D114" s="1550">
        <f>'Input data'!D134</f>
        <v>40465875.003352016</v>
      </c>
      <c r="E114" s="1455">
        <f t="shared" si="89"/>
        <v>1</v>
      </c>
      <c r="F114" s="1449">
        <f t="shared" si="89"/>
        <v>0.37</v>
      </c>
      <c r="G114" s="1554">
        <f>B114*F114*'Input data'!$C$9</f>
        <v>772.75409695478163</v>
      </c>
      <c r="H114" s="1542">
        <f>'Input data'!I134</f>
        <v>424.26313389388866</v>
      </c>
      <c r="I114" s="1509">
        <f>'Input data'!K134</f>
        <v>28950.284833289355</v>
      </c>
      <c r="J114" s="1509">
        <f t="shared" ref="J114:J130" si="91">J113</f>
        <v>2228.8062963921584</v>
      </c>
      <c r="K114" s="1511">
        <f t="shared" si="77"/>
        <v>11224.925143684375</v>
      </c>
      <c r="L114" s="1504">
        <f t="shared" si="90"/>
        <v>0.7</v>
      </c>
      <c r="M114" s="1504">
        <f t="shared" si="88"/>
        <v>0.6</v>
      </c>
      <c r="N114" s="1504">
        <f t="shared" si="88"/>
        <v>0.9</v>
      </c>
      <c r="O114" s="1504">
        <f t="shared" si="88"/>
        <v>0.9</v>
      </c>
      <c r="P114" s="1504">
        <f t="shared" si="88"/>
        <v>0.23600000000000002</v>
      </c>
      <c r="Q114" s="1508">
        <f t="shared" si="33"/>
        <v>309.98149945140312</v>
      </c>
      <c r="R114" s="1509">
        <f t="shared" si="34"/>
        <v>216.31472470698566</v>
      </c>
      <c r="S114" s="1509">
        <f t="shared" si="35"/>
        <v>633.45909610834542</v>
      </c>
      <c r="T114" s="1509">
        <f t="shared" si="36"/>
        <v>426.5317004883982</v>
      </c>
      <c r="U114" s="1511">
        <f t="shared" si="37"/>
        <v>0</v>
      </c>
      <c r="V114" s="1509">
        <f t="shared" si="38"/>
        <v>1586.2870207551323</v>
      </c>
      <c r="W114" s="1454">
        <f t="shared" si="87"/>
        <v>0.5</v>
      </c>
      <c r="X114" s="530">
        <f t="shared" si="39"/>
        <v>3033.4854703020706</v>
      </c>
      <c r="Y114" s="1508">
        <f t="shared" si="78"/>
        <v>4619.7724910572033</v>
      </c>
      <c r="Z114" s="1509">
        <f t="shared" si="79"/>
        <v>8833.9589490193302</v>
      </c>
      <c r="AA114" s="1511">
        <f t="shared" si="80"/>
        <v>6605.1526526271718</v>
      </c>
      <c r="AB114" s="1091">
        <f t="shared" si="40"/>
        <v>0.74770017505689435</v>
      </c>
      <c r="AC114" s="135" t="str">
        <f t="shared" si="41"/>
        <v>Yes</v>
      </c>
      <c r="AD114" s="1091">
        <f t="shared" si="42"/>
        <v>0.74770017505689435</v>
      </c>
      <c r="AE114" s="649">
        <f t="shared" si="10"/>
        <v>0.34108865163413971</v>
      </c>
      <c r="AF114" s="530">
        <f t="shared" si="43"/>
        <v>279.5517936159477</v>
      </c>
      <c r="AG114" s="528">
        <f t="shared" si="44"/>
        <v>2228.8062963921584</v>
      </c>
      <c r="AH114" s="528">
        <f t="shared" si="81"/>
        <v>9521.9816913614286</v>
      </c>
      <c r="AI114" s="528">
        <f t="shared" si="82"/>
        <v>6437.6604656145792</v>
      </c>
      <c r="AJ114" s="528">
        <f t="shared" si="11"/>
        <v>887.22276171023486</v>
      </c>
      <c r="AK114" s="528">
        <f t="shared" si="45"/>
        <v>19075.671215078404</v>
      </c>
      <c r="AL114" s="716">
        <f t="shared" si="12"/>
        <v>0</v>
      </c>
      <c r="AM114" s="417">
        <f t="shared" si="46"/>
        <v>0.11684025538406186</v>
      </c>
      <c r="AN114" s="417">
        <f t="shared" si="47"/>
        <v>0.49916889340359138</v>
      </c>
      <c r="AO114" s="417">
        <f t="shared" si="48"/>
        <v>0.33748015433008288</v>
      </c>
      <c r="AP114" s="417">
        <f t="shared" si="49"/>
        <v>4.6510696882263718E-2</v>
      </c>
      <c r="AQ114" s="417">
        <f t="shared" si="50"/>
        <v>0.99999999999999978</v>
      </c>
      <c r="AR114" s="1086">
        <f t="shared" si="13"/>
        <v>477.27913338379346</v>
      </c>
      <c r="AS114" s="938">
        <f t="shared" si="14"/>
        <v>605.31906261140239</v>
      </c>
      <c r="AT114" s="938">
        <f t="shared" si="15"/>
        <v>122.05382107923813</v>
      </c>
      <c r="AU114" s="938">
        <f t="shared" si="16"/>
        <v>0</v>
      </c>
      <c r="AV114" s="938">
        <f t="shared" si="17"/>
        <v>0</v>
      </c>
      <c r="AW114" s="938">
        <f t="shared" si="18"/>
        <v>0</v>
      </c>
      <c r="AX114" s="938">
        <f t="shared" si="19"/>
        <v>852.38315174108629</v>
      </c>
      <c r="AY114" s="938">
        <f t="shared" si="20"/>
        <v>68.659002252242828</v>
      </c>
      <c r="AZ114" s="938">
        <f t="shared" si="21"/>
        <v>19.300063571685364</v>
      </c>
      <c r="BA114" s="938">
        <f t="shared" si="22"/>
        <v>49.848304833099625</v>
      </c>
      <c r="BB114" s="938">
        <f t="shared" si="23"/>
        <v>33.963756919610013</v>
      </c>
      <c r="BC114" s="530">
        <f t="shared" si="51"/>
        <v>2228.8062963921584</v>
      </c>
      <c r="BD114" s="724">
        <f t="shared" si="52"/>
        <v>0</v>
      </c>
      <c r="BE114" s="436">
        <f t="shared" si="53"/>
        <v>0.21414114548957475</v>
      </c>
      <c r="BF114" s="624">
        <f t="shared" si="54"/>
        <v>0.27158890550123271</v>
      </c>
      <c r="BG114" s="624">
        <f t="shared" si="55"/>
        <v>5.4761968896449478E-2</v>
      </c>
      <c r="BH114" s="624">
        <f t="shared" si="56"/>
        <v>0</v>
      </c>
      <c r="BI114" s="624">
        <f t="shared" si="57"/>
        <v>0</v>
      </c>
      <c r="BJ114" s="624">
        <f t="shared" si="58"/>
        <v>0</v>
      </c>
      <c r="BK114" s="624">
        <f t="shared" si="59"/>
        <v>0.45950798011274291</v>
      </c>
      <c r="BL114" s="624">
        <f t="shared" si="60"/>
        <v>0.99999999999999978</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89.061169010269779</v>
      </c>
      <c r="BW114" s="114">
        <f t="shared" si="63"/>
        <v>0.70235814785513706</v>
      </c>
      <c r="BX114" s="1689">
        <f t="shared" si="24"/>
        <v>40.465875003352018</v>
      </c>
      <c r="BY114" s="527">
        <f t="shared" si="64"/>
        <v>89.061169010269779</v>
      </c>
      <c r="BZ114" s="417">
        <f t="shared" si="65"/>
        <v>0.70235814785513706</v>
      </c>
      <c r="CA114" s="544">
        <f t="shared" si="25"/>
        <v>40.465875003352018</v>
      </c>
      <c r="CB114" s="649">
        <f t="shared" si="26"/>
        <v>0.34108865163413971</v>
      </c>
      <c r="CC114" s="525">
        <f t="shared" si="66"/>
        <v>0.35177689426581371</v>
      </c>
      <c r="CD114" s="417">
        <f t="shared" si="27"/>
        <v>0.34108865163413971</v>
      </c>
      <c r="CE114" s="525">
        <f t="shared" si="67"/>
        <v>0.35177689426581371</v>
      </c>
      <c r="CG114" s="527">
        <f t="shared" si="68"/>
        <v>1808.2254134665175</v>
      </c>
      <c r="CH114" s="528">
        <f t="shared" si="69"/>
        <v>796.25052039381262</v>
      </c>
      <c r="CI114" s="528">
        <f t="shared" si="70"/>
        <v>3032.5169494548468</v>
      </c>
      <c r="CJ114" s="528">
        <f t="shared" si="71"/>
        <v>3838.7853043955847</v>
      </c>
      <c r="CK114" s="528">
        <f t="shared" si="72"/>
        <v>46.203503650666732</v>
      </c>
      <c r="CL114" s="528">
        <f t="shared" si="73"/>
        <v>9521.9816913614286</v>
      </c>
      <c r="CM114" s="646">
        <f t="shared" si="74"/>
        <v>0</v>
      </c>
    </row>
    <row r="115" spans="1:91">
      <c r="A115" s="873">
        <f>'Input data'!A135</f>
        <v>2035</v>
      </c>
      <c r="B115" s="1551">
        <f>'Input data'!B135</f>
        <v>68.818976000000006</v>
      </c>
      <c r="C115" s="1550">
        <f>'Input data'!C135</f>
        <v>5785.6697548645852</v>
      </c>
      <c r="D115" s="1550">
        <f>'Input data'!D135</f>
        <v>33374025.316822052</v>
      </c>
      <c r="E115" s="1455">
        <f t="shared" si="89"/>
        <v>1</v>
      </c>
      <c r="F115" s="1449">
        <f t="shared" si="89"/>
        <v>0.37</v>
      </c>
      <c r="G115" s="1554">
        <f>B115*F115*'Input data'!$C$9</f>
        <v>779.34899035624392</v>
      </c>
      <c r="H115" s="1542">
        <f>'Input data'!I135</f>
        <v>424.26313389388866</v>
      </c>
      <c r="I115" s="1509">
        <f>'Input data'!K135</f>
        <v>29197.354429128314</v>
      </c>
      <c r="J115" s="1509">
        <f t="shared" si="91"/>
        <v>2228.8062963921584</v>
      </c>
      <c r="K115" s="1511">
        <f t="shared" si="77"/>
        <v>11339.742942837889</v>
      </c>
      <c r="L115" s="1504">
        <f t="shared" si="90"/>
        <v>0.7</v>
      </c>
      <c r="M115" s="1504">
        <f t="shared" si="88"/>
        <v>0.6</v>
      </c>
      <c r="N115" s="1504">
        <f t="shared" si="88"/>
        <v>0.9</v>
      </c>
      <c r="O115" s="1504">
        <f t="shared" si="88"/>
        <v>0.9</v>
      </c>
      <c r="P115" s="1504">
        <f t="shared" si="88"/>
        <v>0.23600000000000002</v>
      </c>
      <c r="Q115" s="1508">
        <f t="shared" si="33"/>
        <v>312.62696578197756</v>
      </c>
      <c r="R115" s="1509">
        <f t="shared" si="34"/>
        <v>218.16081333496061</v>
      </c>
      <c r="S115" s="1509">
        <f t="shared" si="35"/>
        <v>638.86520812960043</v>
      </c>
      <c r="T115" s="1509">
        <f t="shared" si="36"/>
        <v>430.17183789841056</v>
      </c>
      <c r="U115" s="1511">
        <f t="shared" si="37"/>
        <v>0</v>
      </c>
      <c r="V115" s="1509">
        <f t="shared" si="38"/>
        <v>1599.824825144949</v>
      </c>
      <c r="W115" s="1454">
        <f t="shared" si="87"/>
        <v>0.5</v>
      </c>
      <c r="X115" s="530">
        <f t="shared" si="39"/>
        <v>3033.4854703020706</v>
      </c>
      <c r="Y115" s="1508">
        <f t="shared" si="78"/>
        <v>4633.3102954470196</v>
      </c>
      <c r="Z115" s="1509">
        <f t="shared" si="79"/>
        <v>8935.2389437830279</v>
      </c>
      <c r="AA115" s="1511">
        <f t="shared" si="80"/>
        <v>6706.4326473908695</v>
      </c>
      <c r="AB115" s="1091">
        <f t="shared" si="40"/>
        <v>0.75055996706804129</v>
      </c>
      <c r="AC115" s="135" t="str">
        <f t="shared" si="41"/>
        <v>Yes</v>
      </c>
      <c r="AD115" s="1091">
        <f t="shared" si="42"/>
        <v>0.75055996706804129</v>
      </c>
      <c r="AE115" s="649">
        <f t="shared" si="10"/>
        <v>0.34396919974586804</v>
      </c>
      <c r="AF115" s="530">
        <f t="shared" si="43"/>
        <v>278.32968324673374</v>
      </c>
      <c r="AG115" s="528">
        <f t="shared" si="44"/>
        <v>2228.8062963921584</v>
      </c>
      <c r="AH115" s="528">
        <f t="shared" si="81"/>
        <v>9603.2448700008808</v>
      </c>
      <c r="AI115" s="528">
        <f t="shared" si="82"/>
        <v>6437.6604656145792</v>
      </c>
      <c r="AJ115" s="528">
        <f t="shared" si="11"/>
        <v>884.65215943695455</v>
      </c>
      <c r="AK115" s="528">
        <f t="shared" si="45"/>
        <v>19154.363791444572</v>
      </c>
      <c r="AL115" s="716">
        <f t="shared" si="12"/>
        <v>0</v>
      </c>
      <c r="AM115" s="417">
        <f t="shared" si="46"/>
        <v>0.11636023627094678</v>
      </c>
      <c r="AN115" s="417">
        <f t="shared" si="47"/>
        <v>0.50136068075987139</v>
      </c>
      <c r="AO115" s="417">
        <f t="shared" si="48"/>
        <v>0.33609367221531022</v>
      </c>
      <c r="AP115" s="417">
        <f t="shared" si="49"/>
        <v>4.6185410753871683E-2</v>
      </c>
      <c r="AQ115" s="417">
        <f t="shared" si="50"/>
        <v>1.0000000000000002</v>
      </c>
      <c r="AR115" s="1086">
        <f t="shared" si="13"/>
        <v>478.74323369818387</v>
      </c>
      <c r="AS115" s="938">
        <f t="shared" si="14"/>
        <v>607.17593790279147</v>
      </c>
      <c r="AT115" s="938">
        <f t="shared" si="15"/>
        <v>121.70018742208988</v>
      </c>
      <c r="AU115" s="938">
        <f t="shared" si="16"/>
        <v>0</v>
      </c>
      <c r="AV115" s="938">
        <f t="shared" si="17"/>
        <v>0</v>
      </c>
      <c r="AW115" s="938">
        <f t="shared" si="18"/>
        <v>0</v>
      </c>
      <c r="AX115" s="938">
        <f t="shared" si="19"/>
        <v>849.91349230251683</v>
      </c>
      <c r="AY115" s="938">
        <f t="shared" si="20"/>
        <v>68.460072519048694</v>
      </c>
      <c r="AZ115" s="938">
        <f t="shared" si="21"/>
        <v>19.244144371420276</v>
      </c>
      <c r="BA115" s="938">
        <f t="shared" si="22"/>
        <v>49.703876431064366</v>
      </c>
      <c r="BB115" s="938">
        <f t="shared" si="23"/>
        <v>33.86535174504214</v>
      </c>
      <c r="BC115" s="530">
        <f t="shared" si="51"/>
        <v>2228.806296392157</v>
      </c>
      <c r="BD115" s="724">
        <f t="shared" si="52"/>
        <v>0</v>
      </c>
      <c r="BE115" s="436">
        <f t="shared" si="53"/>
        <v>0.21479804434918434</v>
      </c>
      <c r="BF115" s="624">
        <f t="shared" si="54"/>
        <v>0.27242203097041112</v>
      </c>
      <c r="BG115" s="624">
        <f t="shared" si="55"/>
        <v>5.4603303848831559E-2</v>
      </c>
      <c r="BH115" s="624">
        <f t="shared" si="56"/>
        <v>0</v>
      </c>
      <c r="BI115" s="624">
        <f t="shared" si="57"/>
        <v>0</v>
      </c>
      <c r="BJ115" s="624">
        <f t="shared" si="58"/>
        <v>0</v>
      </c>
      <c r="BK115" s="624">
        <f t="shared" si="59"/>
        <v>0.45817662083157323</v>
      </c>
      <c r="BL115" s="624">
        <f t="shared" si="60"/>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82.946593849088401</v>
      </c>
      <c r="BW115" s="114">
        <f t="shared" si="63"/>
        <v>0.73171627123143212</v>
      </c>
      <c r="BX115" s="1689">
        <f t="shared" si="24"/>
        <v>33.374025316822049</v>
      </c>
      <c r="BY115" s="527">
        <f t="shared" si="64"/>
        <v>82.946593849088401</v>
      </c>
      <c r="BZ115" s="417">
        <f t="shared" si="65"/>
        <v>0.73171627123143212</v>
      </c>
      <c r="CA115" s="544">
        <f t="shared" si="25"/>
        <v>33.374025316822049</v>
      </c>
      <c r="CB115" s="649">
        <f t="shared" si="26"/>
        <v>0.34396919974586804</v>
      </c>
      <c r="CC115" s="525">
        <f t="shared" si="66"/>
        <v>0.38054779505581349</v>
      </c>
      <c r="CD115" s="417">
        <f t="shared" si="27"/>
        <v>0.34396919974586804</v>
      </c>
      <c r="CE115" s="525">
        <f t="shared" si="67"/>
        <v>0.38054779505581349</v>
      </c>
      <c r="CG115" s="527">
        <f t="shared" si="68"/>
        <v>1823.6573003948697</v>
      </c>
      <c r="CH115" s="528">
        <f t="shared" si="69"/>
        <v>803.04593865629693</v>
      </c>
      <c r="CI115" s="528">
        <f t="shared" si="70"/>
        <v>3058.3972729608545</v>
      </c>
      <c r="CJ115" s="528">
        <f t="shared" si="71"/>
        <v>3871.5465410856968</v>
      </c>
      <c r="CK115" s="528">
        <f t="shared" si="72"/>
        <v>46.597816903163221</v>
      </c>
      <c r="CL115" s="528">
        <f t="shared" si="73"/>
        <v>9603.244870000879</v>
      </c>
      <c r="CM115" s="646">
        <f t="shared" si="74"/>
        <v>0</v>
      </c>
    </row>
    <row r="116" spans="1:91">
      <c r="A116" s="873">
        <f>'Input data'!A136</f>
        <v>2036</v>
      </c>
      <c r="B116" s="1551">
        <f>'Input data'!B136</f>
        <v>69.322810489383542</v>
      </c>
      <c r="C116" s="1550">
        <f>'Input data'!C136</f>
        <v>5959.8602057408698</v>
      </c>
      <c r="D116" s="1550">
        <f>'Input data'!D136</f>
        <v>24482482.614495005</v>
      </c>
      <c r="E116" s="1455">
        <f t="shared" si="89"/>
        <v>1</v>
      </c>
      <c r="F116" s="1449">
        <f t="shared" si="89"/>
        <v>0.37</v>
      </c>
      <c r="G116" s="1554">
        <f>B116*F116*'Input data'!$C$9</f>
        <v>785.05472623652952</v>
      </c>
      <c r="H116" s="1542">
        <f>'Input data'!I136</f>
        <v>424.26313389388866</v>
      </c>
      <c r="I116" s="1509">
        <f>'Input data'!K136</f>
        <v>29411.112828557998</v>
      </c>
      <c r="J116" s="1509">
        <f t="shared" si="91"/>
        <v>2228.8062963921584</v>
      </c>
      <c r="K116" s="1511">
        <f t="shared" si="77"/>
        <v>11439.080414491387</v>
      </c>
      <c r="L116" s="1504">
        <f t="shared" si="90"/>
        <v>0.7</v>
      </c>
      <c r="M116" s="1504">
        <f t="shared" si="88"/>
        <v>0.6</v>
      </c>
      <c r="N116" s="1504">
        <f t="shared" si="88"/>
        <v>0.9</v>
      </c>
      <c r="O116" s="1504">
        <f t="shared" si="88"/>
        <v>0.9</v>
      </c>
      <c r="P116" s="1504">
        <f t="shared" si="88"/>
        <v>0.23600000000000002</v>
      </c>
      <c r="Q116" s="1508">
        <f t="shared" si="33"/>
        <v>314.91575670604311</v>
      </c>
      <c r="R116" s="1509">
        <f t="shared" si="34"/>
        <v>219.75800277861231</v>
      </c>
      <c r="S116" s="1509">
        <f t="shared" si="35"/>
        <v>643.54244026282595</v>
      </c>
      <c r="T116" s="1509">
        <f t="shared" si="36"/>
        <v>433.32119322004019</v>
      </c>
      <c r="U116" s="1511">
        <f t="shared" si="37"/>
        <v>0</v>
      </c>
      <c r="V116" s="1509">
        <f t="shared" si="38"/>
        <v>1611.5373929675216</v>
      </c>
      <c r="W116" s="1454">
        <f t="shared" si="87"/>
        <v>0.5</v>
      </c>
      <c r="X116" s="530">
        <f t="shared" si="39"/>
        <v>3033.4854703020706</v>
      </c>
      <c r="Y116" s="1508">
        <f t="shared" si="78"/>
        <v>4645.0228632695926</v>
      </c>
      <c r="Z116" s="1509">
        <f t="shared" si="79"/>
        <v>9022.8638476139531</v>
      </c>
      <c r="AA116" s="1511">
        <f t="shared" si="80"/>
        <v>6794.0575512217947</v>
      </c>
      <c r="AB116" s="1091">
        <f t="shared" si="40"/>
        <v>0.75298238629838643</v>
      </c>
      <c r="AC116" s="135" t="str">
        <f t="shared" si="41"/>
        <v>Yes</v>
      </c>
      <c r="AD116" s="1091">
        <f t="shared" si="42"/>
        <v>0.75298238629838643</v>
      </c>
      <c r="AE116" s="649">
        <f t="shared" si="10"/>
        <v>0.34642074566368197</v>
      </c>
      <c r="AF116" s="530">
        <f t="shared" si="43"/>
        <v>277.28958269275716</v>
      </c>
      <c r="AG116" s="528">
        <f t="shared" si="44"/>
        <v>2228.8062963921584</v>
      </c>
      <c r="AH116" s="528">
        <f t="shared" si="81"/>
        <v>9673.5517280323329</v>
      </c>
      <c r="AI116" s="528">
        <f t="shared" si="82"/>
        <v>6437.6604656145792</v>
      </c>
      <c r="AJ116" s="528">
        <f t="shared" si="11"/>
        <v>882.47470165118193</v>
      </c>
      <c r="AK116" s="528">
        <f t="shared" si="45"/>
        <v>19222.493191690253</v>
      </c>
      <c r="AL116" s="716">
        <f t="shared" si="12"/>
        <v>0</v>
      </c>
      <c r="AM116" s="417">
        <f t="shared" si="46"/>
        <v>0.11594782602683691</v>
      </c>
      <c r="AN116" s="417">
        <f t="shared" si="47"/>
        <v>0.5032412617638039</v>
      </c>
      <c r="AO116" s="417">
        <f t="shared" si="48"/>
        <v>0.33490247084064695</v>
      </c>
      <c r="AP116" s="417">
        <f t="shared" si="49"/>
        <v>4.5908441368712229E-2</v>
      </c>
      <c r="AQ116" s="417">
        <f t="shared" si="50"/>
        <v>1</v>
      </c>
      <c r="AR116" s="1086">
        <f t="shared" si="13"/>
        <v>479.98341646074488</v>
      </c>
      <c r="AS116" s="938">
        <f t="shared" si="14"/>
        <v>608.74882516056437</v>
      </c>
      <c r="AT116" s="938">
        <f t="shared" si="15"/>
        <v>121.4006380254085</v>
      </c>
      <c r="AU116" s="938">
        <f t="shared" si="16"/>
        <v>0</v>
      </c>
      <c r="AV116" s="938">
        <f t="shared" si="17"/>
        <v>0</v>
      </c>
      <c r="AW116" s="938">
        <f t="shared" si="18"/>
        <v>0</v>
      </c>
      <c r="AX116" s="938">
        <f t="shared" si="19"/>
        <v>847.82153928877506</v>
      </c>
      <c r="AY116" s="938">
        <f t="shared" si="20"/>
        <v>68.291566834265154</v>
      </c>
      <c r="AZ116" s="938">
        <f t="shared" si="21"/>
        <v>19.196777379156618</v>
      </c>
      <c r="BA116" s="938">
        <f t="shared" si="22"/>
        <v>49.581536716450756</v>
      </c>
      <c r="BB116" s="938">
        <f t="shared" si="23"/>
        <v>33.781996526792177</v>
      </c>
      <c r="BC116" s="530">
        <f t="shared" si="51"/>
        <v>2228.8062963921579</v>
      </c>
      <c r="BD116" s="724">
        <f t="shared" si="52"/>
        <v>0</v>
      </c>
      <c r="BE116" s="436">
        <f t="shared" si="53"/>
        <v>0.21535447797222657</v>
      </c>
      <c r="BF116" s="624">
        <f t="shared" si="54"/>
        <v>0.27312773934009704</v>
      </c>
      <c r="BG116" s="624">
        <f t="shared" si="55"/>
        <v>5.4468904822246644E-2</v>
      </c>
      <c r="BH116" s="624">
        <f t="shared" si="56"/>
        <v>0</v>
      </c>
      <c r="BI116" s="624">
        <f t="shared" si="57"/>
        <v>0</v>
      </c>
      <c r="BJ116" s="624">
        <f t="shared" si="58"/>
        <v>0</v>
      </c>
      <c r="BK116" s="624">
        <f t="shared" si="59"/>
        <v>0.45704887786542958</v>
      </c>
      <c r="BL116" s="624">
        <f t="shared" si="60"/>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75.016350094586969</v>
      </c>
      <c r="BW116" s="114">
        <f t="shared" si="63"/>
        <v>0.77447188721182603</v>
      </c>
      <c r="BX116" s="1689">
        <f t="shared" si="24"/>
        <v>24.482482614495005</v>
      </c>
      <c r="BY116" s="527">
        <f t="shared" si="64"/>
        <v>75.016350094586969</v>
      </c>
      <c r="BZ116" s="417">
        <f t="shared" si="65"/>
        <v>0.77447188721182603</v>
      </c>
      <c r="CA116" s="544">
        <f t="shared" si="25"/>
        <v>24.482482614495005</v>
      </c>
      <c r="CB116" s="649">
        <f t="shared" si="26"/>
        <v>0.34642074566368197</v>
      </c>
      <c r="CC116" s="525">
        <f t="shared" si="66"/>
        <v>0.41993685193758523</v>
      </c>
      <c r="CD116" s="417">
        <f t="shared" si="27"/>
        <v>0.34642074566368197</v>
      </c>
      <c r="CE116" s="525">
        <f t="shared" si="67"/>
        <v>0.41993685193758523</v>
      </c>
      <c r="CG116" s="527">
        <f t="shared" si="68"/>
        <v>1837.0085807852522</v>
      </c>
      <c r="CH116" s="528">
        <f t="shared" si="69"/>
        <v>808.92516360225397</v>
      </c>
      <c r="CI116" s="528">
        <f t="shared" si="70"/>
        <v>3080.7882778539556</v>
      </c>
      <c r="CJ116" s="528">
        <f t="shared" si="71"/>
        <v>3899.8907389803658</v>
      </c>
      <c r="CK116" s="528">
        <f t="shared" si="72"/>
        <v>46.938966810505526</v>
      </c>
      <c r="CL116" s="528">
        <f t="shared" si="73"/>
        <v>9673.5517280323329</v>
      </c>
      <c r="CM116" s="646">
        <f t="shared" si="74"/>
        <v>0</v>
      </c>
    </row>
    <row r="117" spans="1:91" s="1" customFormat="1">
      <c r="A117" s="873">
        <f>'Input data'!A137</f>
        <v>2037</v>
      </c>
      <c r="B117" s="1551">
        <f>'Input data'!B137</f>
        <v>69.830333629884052</v>
      </c>
      <c r="C117" s="1550">
        <f>'Input data'!C137</f>
        <v>6149.2553125491713</v>
      </c>
      <c r="D117" s="1550">
        <f>'Input data'!D137</f>
        <v>21483552.95875904</v>
      </c>
      <c r="E117" s="1455">
        <f t="shared" si="89"/>
        <v>1</v>
      </c>
      <c r="F117" s="1449">
        <f t="shared" si="89"/>
        <v>0.37</v>
      </c>
      <c r="G117" s="1554">
        <f>B117*F117*'Input data'!$C$9</f>
        <v>790.80223470180374</v>
      </c>
      <c r="H117" s="1542">
        <f>'Input data'!I137</f>
        <v>424.26313389388866</v>
      </c>
      <c r="I117" s="1509">
        <f>'Input data'!K137</f>
        <v>29626.436186670413</v>
      </c>
      <c r="J117" s="1509">
        <f t="shared" si="91"/>
        <v>2228.8062963921584</v>
      </c>
      <c r="K117" s="1511">
        <f t="shared" si="77"/>
        <v>11539.145151315281</v>
      </c>
      <c r="L117" s="1504">
        <f t="shared" si="90"/>
        <v>0.7</v>
      </c>
      <c r="M117" s="1504">
        <f t="shared" si="88"/>
        <v>0.6</v>
      </c>
      <c r="N117" s="1504">
        <f t="shared" si="88"/>
        <v>0.9</v>
      </c>
      <c r="O117" s="1504">
        <f t="shared" si="88"/>
        <v>0.9</v>
      </c>
      <c r="P117" s="1504">
        <f>P116</f>
        <v>0.23600000000000002</v>
      </c>
      <c r="Q117" s="1508">
        <f t="shared" si="33"/>
        <v>317.2213042265239</v>
      </c>
      <c r="R117" s="1509">
        <f t="shared" si="34"/>
        <v>221.36688549604628</v>
      </c>
      <c r="S117" s="1509">
        <f t="shared" si="35"/>
        <v>648.25391514420789</v>
      </c>
      <c r="T117" s="1509">
        <f t="shared" si="36"/>
        <v>436.49360546466687</v>
      </c>
      <c r="U117" s="1511">
        <f t="shared" si="37"/>
        <v>0</v>
      </c>
      <c r="V117" s="1509">
        <f t="shared" si="38"/>
        <v>1623.3357103314449</v>
      </c>
      <c r="W117" s="1454">
        <f t="shared" si="87"/>
        <v>0.5</v>
      </c>
      <c r="X117" s="530">
        <f t="shared" si="39"/>
        <v>3033.4854703020706</v>
      </c>
      <c r="Y117" s="1508">
        <f t="shared" si="78"/>
        <v>4656.8211806335157</v>
      </c>
      <c r="Z117" s="1509">
        <f t="shared" si="79"/>
        <v>9111.1302670739242</v>
      </c>
      <c r="AA117" s="1511">
        <f t="shared" si="80"/>
        <v>6882.3239706817658</v>
      </c>
      <c r="AB117" s="1091">
        <f t="shared" si="40"/>
        <v>0.75537543300783594</v>
      </c>
      <c r="AC117" s="135" t="str">
        <f t="shared" si="41"/>
        <v>Yes</v>
      </c>
      <c r="AD117" s="1091">
        <f t="shared" si="42"/>
        <v>0.75537543300783594</v>
      </c>
      <c r="AE117" s="649">
        <f t="shared" si="10"/>
        <v>0.34885304461912336</v>
      </c>
      <c r="AF117" s="530">
        <f t="shared" si="43"/>
        <v>276.25764791535482</v>
      </c>
      <c r="AG117" s="528">
        <f t="shared" si="44"/>
        <v>2228.8062963921584</v>
      </c>
      <c r="AH117" s="528">
        <f t="shared" si="81"/>
        <v>9744.373313570286</v>
      </c>
      <c r="AI117" s="528">
        <f t="shared" si="82"/>
        <v>6437.6604656145792</v>
      </c>
      <c r="AJ117" s="528">
        <f t="shared" si="11"/>
        <v>880.32364615924473</v>
      </c>
      <c r="AK117" s="528">
        <f t="shared" si="45"/>
        <v>19291.16372173627</v>
      </c>
      <c r="AL117" s="716">
        <f t="shared" si="12"/>
        <v>0</v>
      </c>
      <c r="AM117" s="417">
        <f t="shared" si="46"/>
        <v>0.11553508790560191</v>
      </c>
      <c r="AN117" s="417">
        <f t="shared" si="47"/>
        <v>0.50512107274227513</v>
      </c>
      <c r="AO117" s="417">
        <f t="shared" si="48"/>
        <v>0.3337103224291732</v>
      </c>
      <c r="AP117" s="417">
        <f t="shared" si="49"/>
        <v>4.5633516922949667E-2</v>
      </c>
      <c r="AQ117" s="417">
        <f t="shared" si="50"/>
        <v>1</v>
      </c>
      <c r="AR117" s="1086">
        <f t="shared" si="13"/>
        <v>481.20856165522059</v>
      </c>
      <c r="AS117" s="938">
        <f t="shared" si="14"/>
        <v>610.30264071379247</v>
      </c>
      <c r="AT117" s="938">
        <f t="shared" si="15"/>
        <v>121.10472075020429</v>
      </c>
      <c r="AU117" s="938">
        <f t="shared" si="16"/>
        <v>0</v>
      </c>
      <c r="AV117" s="938">
        <f t="shared" si="17"/>
        <v>0</v>
      </c>
      <c r="AW117" s="938">
        <f t="shared" si="18"/>
        <v>0</v>
      </c>
      <c r="AX117" s="938">
        <f t="shared" si="19"/>
        <v>845.75495179923291</v>
      </c>
      <c r="AY117" s="938">
        <f t="shared" si="20"/>
        <v>68.125104328748591</v>
      </c>
      <c r="AZ117" s="938">
        <f t="shared" si="21"/>
        <v>19.149984725121765</v>
      </c>
      <c r="BA117" s="938">
        <f t="shared" si="22"/>
        <v>49.460680405609196</v>
      </c>
      <c r="BB117" s="938">
        <f t="shared" si="23"/>
        <v>33.699652014228135</v>
      </c>
      <c r="BC117" s="530">
        <f t="shared" si="51"/>
        <v>2228.8062963921575</v>
      </c>
      <c r="BD117" s="724">
        <f t="shared" si="52"/>
        <v>0</v>
      </c>
      <c r="BE117" s="436">
        <f t="shared" si="53"/>
        <v>0.21590416467961743</v>
      </c>
      <c r="BF117" s="624">
        <f t="shared" si="54"/>
        <v>0.27382489079544936</v>
      </c>
      <c r="BG117" s="624">
        <f t="shared" si="55"/>
        <v>5.4336135422015146E-2</v>
      </c>
      <c r="BH117" s="624">
        <f t="shared" si="56"/>
        <v>0</v>
      </c>
      <c r="BI117" s="624">
        <f t="shared" si="57"/>
        <v>0</v>
      </c>
      <c r="BJ117" s="624">
        <f t="shared" si="58"/>
        <v>0</v>
      </c>
      <c r="BK117" s="624">
        <f t="shared" si="59"/>
        <v>0.45593480910291828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73.855032983271357</v>
      </c>
      <c r="BW117" s="114">
        <f t="shared" si="63"/>
        <v>0.78448661759422023</v>
      </c>
      <c r="BX117" s="1689">
        <f t="shared" si="24"/>
        <v>21.483552958759038</v>
      </c>
      <c r="BY117" s="527">
        <f t="shared" si="64"/>
        <v>73.855032983271357</v>
      </c>
      <c r="BZ117" s="417">
        <f t="shared" si="65"/>
        <v>0.78448661759422023</v>
      </c>
      <c r="CA117" s="544">
        <f t="shared" si="25"/>
        <v>21.483552958759038</v>
      </c>
      <c r="CB117" s="649">
        <f t="shared" si="26"/>
        <v>0.34885304461912336</v>
      </c>
      <c r="CC117" s="525">
        <f t="shared" si="66"/>
        <v>0.42844425019755206</v>
      </c>
      <c r="CD117" s="417">
        <f t="shared" si="27"/>
        <v>0.34885304461912336</v>
      </c>
      <c r="CE117" s="525">
        <f t="shared" si="67"/>
        <v>0.42844425019755206</v>
      </c>
      <c r="CG117" s="527">
        <f t="shared" si="68"/>
        <v>1850.4576079880558</v>
      </c>
      <c r="CH117" s="528">
        <f t="shared" si="69"/>
        <v>814.84743127379011</v>
      </c>
      <c r="CI117" s="528">
        <f t="shared" si="70"/>
        <v>3103.3432107967428</v>
      </c>
      <c r="CJ117" s="528">
        <f t="shared" si="71"/>
        <v>3928.4424491820068</v>
      </c>
      <c r="CK117" s="528">
        <f t="shared" si="72"/>
        <v>47.28261432968921</v>
      </c>
      <c r="CL117" s="528">
        <f t="shared" si="73"/>
        <v>9744.373313570286</v>
      </c>
      <c r="CM117" s="646">
        <f t="shared" si="74"/>
        <v>0</v>
      </c>
    </row>
    <row r="118" spans="1:91">
      <c r="A118" s="873">
        <f>'Input data'!A138</f>
        <v>2038</v>
      </c>
      <c r="B118" s="1551">
        <f>'Input data'!B138</f>
        <v>70.341572426693446</v>
      </c>
      <c r="C118" s="1550">
        <f>'Input data'!C138</f>
        <v>6333.0462394281813</v>
      </c>
      <c r="D118" s="1550">
        <f>'Input data'!D138</f>
        <v>18854877.897592288</v>
      </c>
      <c r="E118" s="1455">
        <f t="shared" si="89"/>
        <v>1</v>
      </c>
      <c r="F118" s="1449">
        <f t="shared" si="89"/>
        <v>0.37</v>
      </c>
      <c r="G118" s="1554">
        <f>B118*F118*'Input data'!$C$9</f>
        <v>796.5918215756966</v>
      </c>
      <c r="H118" s="1542">
        <f>'Input data'!I138</f>
        <v>424.26313389388866</v>
      </c>
      <c r="I118" s="1509">
        <f>'Input data'!K138</f>
        <v>29843.335960772907</v>
      </c>
      <c r="J118" s="1509">
        <f t="shared" si="91"/>
        <v>2228.8062963921584</v>
      </c>
      <c r="K118" s="1511">
        <f t="shared" si="77"/>
        <v>11639.94247773166</v>
      </c>
      <c r="L118" s="1504">
        <f t="shared" si="90"/>
        <v>0.7</v>
      </c>
      <c r="M118" s="1504">
        <f t="shared" si="88"/>
        <v>0.6</v>
      </c>
      <c r="N118" s="1504">
        <f t="shared" si="88"/>
        <v>0.9</v>
      </c>
      <c r="O118" s="1504">
        <f t="shared" si="88"/>
        <v>0.9</v>
      </c>
      <c r="P118" s="1504">
        <f t="shared" si="88"/>
        <v>0.23600000000000002</v>
      </c>
      <c r="Q118" s="1508">
        <f t="shared" si="33"/>
        <v>319.54373102108343</v>
      </c>
      <c r="R118" s="1509">
        <f t="shared" si="34"/>
        <v>222.9875470955493</v>
      </c>
      <c r="S118" s="1509">
        <f t="shared" si="35"/>
        <v>652.99988347026374</v>
      </c>
      <c r="T118" s="1509">
        <f t="shared" si="36"/>
        <v>439.68924343563094</v>
      </c>
      <c r="U118" s="1511">
        <f t="shared" si="37"/>
        <v>0</v>
      </c>
      <c r="V118" s="1509">
        <f t="shared" si="38"/>
        <v>1635.2204050225273</v>
      </c>
      <c r="W118" s="1454">
        <f t="shared" si="87"/>
        <v>0.5</v>
      </c>
      <c r="X118" s="530">
        <f t="shared" si="39"/>
        <v>3033.4854703020706</v>
      </c>
      <c r="Y118" s="1508">
        <f t="shared" si="78"/>
        <v>4668.7058753245983</v>
      </c>
      <c r="Z118" s="1509">
        <f t="shared" si="79"/>
        <v>9200.04289879922</v>
      </c>
      <c r="AA118" s="1511">
        <f t="shared" si="80"/>
        <v>6971.2366024070616</v>
      </c>
      <c r="AB118" s="1091">
        <f t="shared" si="40"/>
        <v>0.75773957568360251</v>
      </c>
      <c r="AC118" s="135" t="str">
        <f t="shared" si="41"/>
        <v>Yes</v>
      </c>
      <c r="AD118" s="1091">
        <f t="shared" si="42"/>
        <v>0.75773957568360251</v>
      </c>
      <c r="AE118" s="649">
        <f t="shared" si="10"/>
        <v>0.35126626747362921</v>
      </c>
      <c r="AF118" s="530">
        <f t="shared" si="43"/>
        <v>275.23380642431778</v>
      </c>
      <c r="AG118" s="528">
        <f t="shared" si="44"/>
        <v>2228.8062963921584</v>
      </c>
      <c r="AH118" s="528">
        <f t="shared" si="81"/>
        <v>9815.7133950153402</v>
      </c>
      <c r="AI118" s="528">
        <f t="shared" si="82"/>
        <v>6437.6604656145792</v>
      </c>
      <c r="AJ118" s="528">
        <f t="shared" si="11"/>
        <v>878.19857184859723</v>
      </c>
      <c r="AK118" s="528">
        <f t="shared" si="45"/>
        <v>19360.378728870674</v>
      </c>
      <c r="AL118" s="716">
        <f t="shared" si="12"/>
        <v>0</v>
      </c>
      <c r="AM118" s="417">
        <f t="shared" si="46"/>
        <v>0.11512204010082239</v>
      </c>
      <c r="AN118" s="417">
        <f t="shared" si="47"/>
        <v>0.50700007125263036</v>
      </c>
      <c r="AO118" s="417">
        <f t="shared" si="48"/>
        <v>0.33251727953103422</v>
      </c>
      <c r="AP118" s="417">
        <f t="shared" si="49"/>
        <v>4.5360609115513109E-2</v>
      </c>
      <c r="AQ118" s="417">
        <f t="shared" si="50"/>
        <v>1.0000000000000002</v>
      </c>
      <c r="AR118" s="1086">
        <f t="shared" si="13"/>
        <v>482.41890912852034</v>
      </c>
      <c r="AS118" s="938">
        <f t="shared" si="14"/>
        <v>611.83768875324381</v>
      </c>
      <c r="AT118" s="938">
        <f t="shared" si="15"/>
        <v>120.81237766469563</v>
      </c>
      <c r="AU118" s="938">
        <f t="shared" si="16"/>
        <v>0</v>
      </c>
      <c r="AV118" s="938">
        <f t="shared" si="17"/>
        <v>0</v>
      </c>
      <c r="AW118" s="938">
        <f t="shared" si="18"/>
        <v>0</v>
      </c>
      <c r="AX118" s="938">
        <f t="shared" si="19"/>
        <v>843.71332525766161</v>
      </c>
      <c r="AY118" s="938">
        <f t="shared" si="20"/>
        <v>67.960652414102398</v>
      </c>
      <c r="AZ118" s="938">
        <f t="shared" si="21"/>
        <v>19.103757248708586</v>
      </c>
      <c r="BA118" s="938">
        <f t="shared" si="22"/>
        <v>49.341283838476528</v>
      </c>
      <c r="BB118" s="938">
        <f t="shared" si="23"/>
        <v>33.618302086749033</v>
      </c>
      <c r="BC118" s="530">
        <f t="shared" si="51"/>
        <v>2228.8062963921575</v>
      </c>
      <c r="BD118" s="724">
        <f t="shared" si="52"/>
        <v>0</v>
      </c>
      <c r="BE118" s="436">
        <f t="shared" si="53"/>
        <v>0.21644721208362872</v>
      </c>
      <c r="BF118" s="624">
        <f t="shared" si="54"/>
        <v>0.27451362181794159</v>
      </c>
      <c r="BG118" s="624">
        <f t="shared" si="55"/>
        <v>5.4204969655846105E-2</v>
      </c>
      <c r="BH118" s="624">
        <f t="shared" si="56"/>
        <v>0</v>
      </c>
      <c r="BI118" s="624">
        <f t="shared" si="57"/>
        <v>0</v>
      </c>
      <c r="BJ118" s="624">
        <f t="shared" si="58"/>
        <v>0</v>
      </c>
      <c r="BK118" s="624">
        <f t="shared" si="59"/>
        <v>0.45483419644258377</v>
      </c>
      <c r="BL118" s="624">
        <f t="shared" si="60"/>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73.815174395731944</v>
      </c>
      <c r="BW118" s="114">
        <f t="shared" si="63"/>
        <v>0.78437024505850728</v>
      </c>
      <c r="BX118" s="1689">
        <f t="shared" si="24"/>
        <v>18.854877897592289</v>
      </c>
      <c r="BY118" s="527">
        <f t="shared" si="64"/>
        <v>73.815174395731944</v>
      </c>
      <c r="BZ118" s="417">
        <f t="shared" si="65"/>
        <v>0.78437024505850728</v>
      </c>
      <c r="CA118" s="544">
        <f t="shared" si="25"/>
        <v>18.854877897592289</v>
      </c>
      <c r="CB118" s="649">
        <f t="shared" si="26"/>
        <v>0.35126626747362921</v>
      </c>
      <c r="CC118" s="525">
        <f t="shared" si="66"/>
        <v>0.42708137761511178</v>
      </c>
      <c r="CD118" s="417">
        <f t="shared" si="27"/>
        <v>0.35126626747362921</v>
      </c>
      <c r="CE118" s="525">
        <f t="shared" si="67"/>
        <v>0.42708137761511178</v>
      </c>
      <c r="CG118" s="527">
        <f t="shared" si="68"/>
        <v>1864.0050976229863</v>
      </c>
      <c r="CH118" s="528">
        <f t="shared" si="69"/>
        <v>820.81305679343336</v>
      </c>
      <c r="CI118" s="528">
        <f t="shared" si="70"/>
        <v>3126.0632719321143</v>
      </c>
      <c r="CJ118" s="528">
        <f t="shared" si="71"/>
        <v>3957.2031909206844</v>
      </c>
      <c r="CK118" s="528">
        <f t="shared" si="72"/>
        <v>47.628777746121287</v>
      </c>
      <c r="CL118" s="528">
        <f t="shared" si="73"/>
        <v>9815.7133950153402</v>
      </c>
      <c r="CM118" s="646">
        <f t="shared" si="74"/>
        <v>0</v>
      </c>
    </row>
    <row r="119" spans="1:91">
      <c r="A119" s="873">
        <f>'Input data'!A139</f>
        <v>2039</v>
      </c>
      <c r="B119" s="1551">
        <f>'Input data'!B139</f>
        <v>70.856554082712819</v>
      </c>
      <c r="C119" s="1550">
        <f>'Input data'!C139</f>
        <v>6520.8289920741563</v>
      </c>
      <c r="D119" s="1550">
        <f>'Input data'!D139</f>
        <v>16226202.836425532</v>
      </c>
      <c r="E119" s="1455">
        <f t="shared" si="89"/>
        <v>1</v>
      </c>
      <c r="F119" s="1449">
        <f t="shared" si="89"/>
        <v>0.37</v>
      </c>
      <c r="G119" s="1554">
        <f>B119*F119*'Input data'!$C$9</f>
        <v>802.42379492081989</v>
      </c>
      <c r="H119" s="1542">
        <f>'Input data'!I139</f>
        <v>424.26313389388866</v>
      </c>
      <c r="I119" s="1509">
        <f>'Input data'!K139</f>
        <v>30061.823692053553</v>
      </c>
      <c r="J119" s="1509">
        <f t="shared" si="91"/>
        <v>2228.8062963921584</v>
      </c>
      <c r="K119" s="1511">
        <f t="shared" si="77"/>
        <v>11741.477757143535</v>
      </c>
      <c r="L119" s="1504">
        <f t="shared" si="90"/>
        <v>0.7</v>
      </c>
      <c r="M119" s="1504">
        <f t="shared" si="88"/>
        <v>0.6</v>
      </c>
      <c r="N119" s="1504">
        <f t="shared" si="88"/>
        <v>0.9</v>
      </c>
      <c r="O119" s="1504">
        <f t="shared" si="88"/>
        <v>0.9</v>
      </c>
      <c r="P119" s="1504">
        <f t="shared" si="88"/>
        <v>0.23600000000000002</v>
      </c>
      <c r="Q119" s="1508">
        <f t="shared" si="33"/>
        <v>321.88316066552784</v>
      </c>
      <c r="R119" s="1509">
        <f t="shared" si="34"/>
        <v>224.62007381215983</v>
      </c>
      <c r="S119" s="1509">
        <f t="shared" si="35"/>
        <v>657.78059777289627</v>
      </c>
      <c r="T119" s="1509">
        <f t="shared" si="36"/>
        <v>442.90827717210823</v>
      </c>
      <c r="U119" s="1511">
        <f t="shared" si="37"/>
        <v>0</v>
      </c>
      <c r="V119" s="1509">
        <f t="shared" si="38"/>
        <v>1647.1921094226923</v>
      </c>
      <c r="W119" s="1454">
        <f t="shared" si="87"/>
        <v>0.5</v>
      </c>
      <c r="X119" s="530">
        <f t="shared" si="39"/>
        <v>3033.4854703020706</v>
      </c>
      <c r="Y119" s="1508">
        <f t="shared" si="78"/>
        <v>4680.6775797247628</v>
      </c>
      <c r="Z119" s="1509">
        <f t="shared" si="79"/>
        <v>9289.6064738109308</v>
      </c>
      <c r="AA119" s="1511">
        <f t="shared" si="80"/>
        <v>7060.8001774187724</v>
      </c>
      <c r="AB119" s="1091">
        <f t="shared" si="40"/>
        <v>0.76007527308335787</v>
      </c>
      <c r="AC119" s="135" t="str">
        <f t="shared" si="41"/>
        <v>Yes</v>
      </c>
      <c r="AD119" s="1091">
        <f t="shared" si="42"/>
        <v>0.76007527308335787</v>
      </c>
      <c r="AE119" s="649">
        <f t="shared" si="10"/>
        <v>0.35366058307858594</v>
      </c>
      <c r="AF119" s="530">
        <f t="shared" si="43"/>
        <v>274.21798658222781</v>
      </c>
      <c r="AG119" s="528">
        <f t="shared" si="44"/>
        <v>2228.8062963921584</v>
      </c>
      <c r="AH119" s="528">
        <f t="shared" si="81"/>
        <v>9887.5757683571446</v>
      </c>
      <c r="AI119" s="528">
        <f t="shared" si="82"/>
        <v>6437.6604656145792</v>
      </c>
      <c r="AJ119" s="528">
        <f t="shared" si="11"/>
        <v>876.09906635235745</v>
      </c>
      <c r="AK119" s="528">
        <f t="shared" si="45"/>
        <v>19430.141596716243</v>
      </c>
      <c r="AL119" s="716">
        <f t="shared" si="12"/>
        <v>0</v>
      </c>
      <c r="AM119" s="417">
        <f t="shared" si="46"/>
        <v>0.11470870066993408</v>
      </c>
      <c r="AN119" s="417">
        <f t="shared" si="47"/>
        <v>0.50887821476443473</v>
      </c>
      <c r="AO119" s="417">
        <f t="shared" si="48"/>
        <v>0.33132339430313595</v>
      </c>
      <c r="AP119" s="417">
        <f t="shared" si="49"/>
        <v>4.5089690262495104E-2</v>
      </c>
      <c r="AQ119" s="417">
        <f t="shared" si="50"/>
        <v>0.99999999999999989</v>
      </c>
      <c r="AR119" s="1086">
        <f t="shared" si="13"/>
        <v>483.61469374641342</v>
      </c>
      <c r="AS119" s="938">
        <f t="shared" si="14"/>
        <v>613.35426715225412</v>
      </c>
      <c r="AT119" s="938">
        <f t="shared" si="15"/>
        <v>120.52355204022797</v>
      </c>
      <c r="AU119" s="938">
        <f t="shared" si="16"/>
        <v>0</v>
      </c>
      <c r="AV119" s="938">
        <f t="shared" si="17"/>
        <v>0</v>
      </c>
      <c r="AW119" s="938">
        <f t="shared" si="18"/>
        <v>0</v>
      </c>
      <c r="AX119" s="938">
        <f t="shared" si="19"/>
        <v>841.69626349007024</v>
      </c>
      <c r="AY119" s="938">
        <f t="shared" si="20"/>
        <v>67.798179178725647</v>
      </c>
      <c r="AZ119" s="938">
        <f t="shared" si="21"/>
        <v>19.058085979558189</v>
      </c>
      <c r="BA119" s="938">
        <f t="shared" si="22"/>
        <v>49.223323846361851</v>
      </c>
      <c r="BB119" s="938">
        <f t="shared" si="23"/>
        <v>33.53793095854644</v>
      </c>
      <c r="BC119" s="530">
        <f t="shared" si="51"/>
        <v>2228.8062963921579</v>
      </c>
      <c r="BD119" s="724">
        <f t="shared" si="52"/>
        <v>0</v>
      </c>
      <c r="BE119" s="436">
        <f t="shared" si="53"/>
        <v>0.21698372556164097</v>
      </c>
      <c r="BF119" s="624">
        <f t="shared" si="54"/>
        <v>0.27519406605460101</v>
      </c>
      <c r="BG119" s="624">
        <f t="shared" si="55"/>
        <v>5.4075382071256443E-2</v>
      </c>
      <c r="BH119" s="624">
        <f t="shared" si="56"/>
        <v>0</v>
      </c>
      <c r="BI119" s="624">
        <f t="shared" si="57"/>
        <v>0</v>
      </c>
      <c r="BJ119" s="624">
        <f t="shared" si="58"/>
        <v>0</v>
      </c>
      <c r="BK119" s="624">
        <f t="shared" si="59"/>
        <v>0.45374682631250152</v>
      </c>
      <c r="BL119" s="624">
        <f t="shared" si="60"/>
        <v>0.99999999999999989</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73.796331939100853</v>
      </c>
      <c r="BW119" s="114">
        <f t="shared" si="63"/>
        <v>0.78431518819864565</v>
      </c>
      <c r="BX119" s="1689">
        <f t="shared" si="24"/>
        <v>16.226202836425532</v>
      </c>
      <c r="BY119" s="527">
        <f t="shared" si="64"/>
        <v>73.796331939100853</v>
      </c>
      <c r="BZ119" s="417">
        <f t="shared" si="65"/>
        <v>0.78431518819864565</v>
      </c>
      <c r="CA119" s="544">
        <f t="shared" si="25"/>
        <v>16.226202836425532</v>
      </c>
      <c r="CB119" s="649">
        <f t="shared" si="26"/>
        <v>0.35366058307858594</v>
      </c>
      <c r="CC119" s="525">
        <f t="shared" si="66"/>
        <v>0.42578160420669942</v>
      </c>
      <c r="CD119" s="417">
        <f t="shared" si="27"/>
        <v>0.35366058307858594</v>
      </c>
      <c r="CE119" s="525">
        <f t="shared" si="67"/>
        <v>0.42578160420669942</v>
      </c>
      <c r="CG119" s="527">
        <f t="shared" si="68"/>
        <v>1877.6517705489127</v>
      </c>
      <c r="CH119" s="528">
        <f t="shared" si="69"/>
        <v>826.82235759077241</v>
      </c>
      <c r="CI119" s="528">
        <f t="shared" si="70"/>
        <v>3148.9496701893991</v>
      </c>
      <c r="CJ119" s="528">
        <f t="shared" si="71"/>
        <v>3986.17449454898</v>
      </c>
      <c r="CK119" s="528">
        <f t="shared" si="72"/>
        <v>47.977475479079111</v>
      </c>
      <c r="CL119" s="528">
        <f t="shared" si="73"/>
        <v>9887.5757683571446</v>
      </c>
      <c r="CM119" s="646">
        <f t="shared" si="74"/>
        <v>0</v>
      </c>
    </row>
    <row r="120" spans="1:91">
      <c r="A120" s="873">
        <f>'Input data'!A140</f>
        <v>2040</v>
      </c>
      <c r="B120" s="1551">
        <f>'Input data'!B140</f>
        <v>71.375305999999995</v>
      </c>
      <c r="C120" s="1550">
        <f>'Input data'!C140</f>
        <v>6710.9821193375428</v>
      </c>
      <c r="D120" s="1550">
        <f>'Input data'!D140</f>
        <v>13597527.775258772</v>
      </c>
      <c r="E120" s="1455">
        <f t="shared" si="89"/>
        <v>1</v>
      </c>
      <c r="F120" s="1449">
        <f t="shared" si="89"/>
        <v>0.37</v>
      </c>
      <c r="G120" s="1554">
        <f>B120*F120*'Input data'!$C$9</f>
        <v>808.29846505516082</v>
      </c>
      <c r="H120" s="1542">
        <f>'Input data'!I140</f>
        <v>424.26313389388866</v>
      </c>
      <c r="I120" s="1509">
        <f>'Input data'!K140</f>
        <v>30281.911006195274</v>
      </c>
      <c r="J120" s="1509">
        <f t="shared" si="91"/>
        <v>2228.8062963921584</v>
      </c>
      <c r="K120" s="1511">
        <f t="shared" si="77"/>
        <v>11843.756392220233</v>
      </c>
      <c r="L120" s="1504">
        <f t="shared" si="90"/>
        <v>0.7</v>
      </c>
      <c r="M120" s="1504">
        <f t="shared" si="88"/>
        <v>0.6</v>
      </c>
      <c r="N120" s="1504">
        <f t="shared" si="88"/>
        <v>0.9</v>
      </c>
      <c r="O120" s="1504">
        <f t="shared" si="88"/>
        <v>0.9</v>
      </c>
      <c r="P120" s="1504">
        <f t="shared" si="88"/>
        <v>0.23600000000000002</v>
      </c>
      <c r="Q120" s="1508">
        <f t="shared" si="33"/>
        <v>324.23971764038129</v>
      </c>
      <c r="R120" s="1509">
        <f t="shared" si="34"/>
        <v>226.26455251225605</v>
      </c>
      <c r="S120" s="1509">
        <f t="shared" si="35"/>
        <v>662.59631243283729</v>
      </c>
      <c r="T120" s="1509">
        <f t="shared" si="36"/>
        <v>446.15087795815862</v>
      </c>
      <c r="U120" s="1511">
        <f t="shared" si="37"/>
        <v>0</v>
      </c>
      <c r="V120" s="1509">
        <f t="shared" si="38"/>
        <v>1659.2514605436331</v>
      </c>
      <c r="W120" s="1454">
        <f t="shared" si="87"/>
        <v>0.5</v>
      </c>
      <c r="X120" s="530">
        <f t="shared" si="39"/>
        <v>3033.4854703020706</v>
      </c>
      <c r="Y120" s="1508">
        <f t="shared" si="78"/>
        <v>4692.7369308457037</v>
      </c>
      <c r="Z120" s="1509">
        <f t="shared" si="79"/>
        <v>9379.8257577666882</v>
      </c>
      <c r="AA120" s="1511">
        <f t="shared" si="80"/>
        <v>7151.0194613745298</v>
      </c>
      <c r="AB120" s="1091">
        <f t="shared" si="40"/>
        <v>0.762382974486849</v>
      </c>
      <c r="AC120" s="135" t="str">
        <f t="shared" si="41"/>
        <v>Yes</v>
      </c>
      <c r="AD120" s="1091">
        <f t="shared" si="42"/>
        <v>0.762382974486849</v>
      </c>
      <c r="AE120" s="649">
        <f t="shared" si="10"/>
        <v>0.3560361583119136</v>
      </c>
      <c r="AF120" s="530">
        <f t="shared" si="43"/>
        <v>273.21011758893553</v>
      </c>
      <c r="AG120" s="528">
        <f t="shared" si="44"/>
        <v>2228.8062963921584</v>
      </c>
      <c r="AH120" s="528">
        <f t="shared" si="81"/>
        <v>9959.9642573763831</v>
      </c>
      <c r="AI120" s="528">
        <f t="shared" si="82"/>
        <v>6437.6604656145792</v>
      </c>
      <c r="AJ120" s="528">
        <f t="shared" si="11"/>
        <v>874.0247258231359</v>
      </c>
      <c r="AK120" s="528">
        <f t="shared" si="45"/>
        <v>19500.455745206255</v>
      </c>
      <c r="AL120" s="716">
        <f t="shared" si="12"/>
        <v>0</v>
      </c>
      <c r="AM120" s="417">
        <f t="shared" si="46"/>
        <v>0.11429508753609822</v>
      </c>
      <c r="AN120" s="417">
        <f t="shared" si="47"/>
        <v>0.51075546066787769</v>
      </c>
      <c r="AO120" s="417">
        <f t="shared" si="48"/>
        <v>0.33012871851454711</v>
      </c>
      <c r="AP120" s="417">
        <f t="shared" si="49"/>
        <v>4.4820733281477031E-2</v>
      </c>
      <c r="AQ120" s="417">
        <f t="shared" si="50"/>
        <v>1</v>
      </c>
      <c r="AR120" s="1086">
        <f t="shared" si="13"/>
        <v>484.79614552234727</v>
      </c>
      <c r="AS120" s="938">
        <f t="shared" si="14"/>
        <v>614.85266763010145</v>
      </c>
      <c r="AT120" s="938">
        <f t="shared" si="15"/>
        <v>120.23818832015957</v>
      </c>
      <c r="AU120" s="938">
        <f t="shared" si="16"/>
        <v>0</v>
      </c>
      <c r="AV120" s="938">
        <f t="shared" si="17"/>
        <v>0</v>
      </c>
      <c r="AW120" s="938">
        <f t="shared" si="18"/>
        <v>0</v>
      </c>
      <c r="AX120" s="938">
        <f t="shared" si="19"/>
        <v>839.70337850741521</v>
      </c>
      <c r="AY120" s="938">
        <f t="shared" si="20"/>
        <v>67.637653370310673</v>
      </c>
      <c r="AZ120" s="938">
        <f t="shared" si="21"/>
        <v>19.012962132638126</v>
      </c>
      <c r="BA120" s="938">
        <f t="shared" si="22"/>
        <v>49.10677773923868</v>
      </c>
      <c r="BB120" s="938">
        <f t="shared" si="23"/>
        <v>33.45852316994646</v>
      </c>
      <c r="BC120" s="530">
        <f t="shared" si="51"/>
        <v>2228.8062963921575</v>
      </c>
      <c r="BD120" s="724">
        <f t="shared" si="52"/>
        <v>0</v>
      </c>
      <c r="BE120" s="436">
        <f t="shared" si="53"/>
        <v>0.21751380831394043</v>
      </c>
      <c r="BF120" s="624">
        <f t="shared" si="54"/>
        <v>0.27586635439130974</v>
      </c>
      <c r="BG120" s="624">
        <f t="shared" si="55"/>
        <v>5.3947347741610877E-2</v>
      </c>
      <c r="BH120" s="624">
        <f t="shared" si="56"/>
        <v>0</v>
      </c>
      <c r="BI120" s="624">
        <f t="shared" si="57"/>
        <v>0</v>
      </c>
      <c r="BJ120" s="624">
        <f t="shared" si="58"/>
        <v>0</v>
      </c>
      <c r="BK120" s="624">
        <f t="shared" si="59"/>
        <v>0.45267248955313888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73.790194967974287</v>
      </c>
      <c r="BW120" s="114">
        <f t="shared" si="63"/>
        <v>0.78429725015873353</v>
      </c>
      <c r="BX120" s="1689">
        <f t="shared" si="24"/>
        <v>13.597527775258772</v>
      </c>
      <c r="BY120" s="527">
        <f t="shared" si="64"/>
        <v>73.790194967974287</v>
      </c>
      <c r="BZ120" s="417">
        <f t="shared" si="65"/>
        <v>0.78429725015873353</v>
      </c>
      <c r="CA120" s="544">
        <f t="shared" si="25"/>
        <v>13.597527775258772</v>
      </c>
      <c r="CB120" s="649">
        <f t="shared" si="26"/>
        <v>0.3560361583119136</v>
      </c>
      <c r="CC120" s="525">
        <f t="shared" si="66"/>
        <v>0.42451679099375317</v>
      </c>
      <c r="CD120" s="417">
        <f t="shared" si="27"/>
        <v>0.3560361583119136</v>
      </c>
      <c r="CE120" s="525">
        <f t="shared" si="67"/>
        <v>0.42451679099375317</v>
      </c>
      <c r="CG120" s="527">
        <f t="shared" si="68"/>
        <v>1891.3983529022248</v>
      </c>
      <c r="CH120" s="528">
        <f t="shared" si="69"/>
        <v>832.87565341934783</v>
      </c>
      <c r="CI120" s="528">
        <f t="shared" si="70"/>
        <v>3172.003623348689</v>
      </c>
      <c r="CJ120" s="528">
        <f t="shared" si="71"/>
        <v>4015.3579016234294</v>
      </c>
      <c r="CK120" s="528">
        <f t="shared" si="72"/>
        <v>48.328726082690423</v>
      </c>
      <c r="CL120" s="528">
        <f t="shared" si="73"/>
        <v>9959.9642573763813</v>
      </c>
      <c r="CM120" s="646">
        <f t="shared" si="74"/>
        <v>0</v>
      </c>
    </row>
    <row r="121" spans="1:91">
      <c r="A121" s="873">
        <f>'Input data'!A141</f>
        <v>2041</v>
      </c>
      <c r="B121" s="1551">
        <f>'Input data'!B141</f>
        <v>71.818612994947316</v>
      </c>
      <c r="C121" s="1550">
        <f>'Input data'!C141</f>
        <v>6920.8570404241891</v>
      </c>
      <c r="D121" s="1550">
        <f>'Input data'!D141</f>
        <v>11135124.826855309</v>
      </c>
      <c r="E121" s="1455">
        <f t="shared" si="89"/>
        <v>1</v>
      </c>
      <c r="F121" s="1449">
        <f t="shared" si="89"/>
        <v>0.37</v>
      </c>
      <c r="G121" s="1554">
        <f>B121*F121*'Input data'!$C$9</f>
        <v>813.31874985175614</v>
      </c>
      <c r="H121" s="1542">
        <f>'Input data'!I141</f>
        <v>424.26313389388866</v>
      </c>
      <c r="I121" s="1509">
        <f>'Input data'!K141</f>
        <v>30469.989821148705</v>
      </c>
      <c r="J121" s="1509">
        <f t="shared" si="91"/>
        <v>2228.8062963921584</v>
      </c>
      <c r="K121" s="1511">
        <f t="shared" si="77"/>
        <v>11931.16008722781</v>
      </c>
      <c r="L121" s="1504">
        <f t="shared" si="90"/>
        <v>0.7</v>
      </c>
      <c r="M121" s="1504">
        <f t="shared" si="88"/>
        <v>0.6</v>
      </c>
      <c r="N121" s="1504">
        <f t="shared" si="88"/>
        <v>0.9</v>
      </c>
      <c r="O121" s="1504">
        <f t="shared" si="88"/>
        <v>0.9</v>
      </c>
      <c r="P121" s="1504">
        <f t="shared" si="88"/>
        <v>0.23600000000000002</v>
      </c>
      <c r="Q121" s="1508">
        <f t="shared" si="33"/>
        <v>326.25354767383487</v>
      </c>
      <c r="R121" s="1509">
        <f t="shared" si="34"/>
        <v>227.6698657005079</v>
      </c>
      <c r="S121" s="1509">
        <f t="shared" si="35"/>
        <v>666.71165142876043</v>
      </c>
      <c r="T121" s="1509">
        <f t="shared" si="36"/>
        <v>448.92188961589818</v>
      </c>
      <c r="U121" s="1511">
        <f t="shared" si="37"/>
        <v>0</v>
      </c>
      <c r="V121" s="1509">
        <f t="shared" si="38"/>
        <v>1669.5569544190014</v>
      </c>
      <c r="W121" s="1454">
        <f t="shared" si="87"/>
        <v>0.5</v>
      </c>
      <c r="X121" s="530">
        <f t="shared" si="39"/>
        <v>3033.4854703020706</v>
      </c>
      <c r="Y121" s="1508">
        <f t="shared" si="78"/>
        <v>4703.0424247210722</v>
      </c>
      <c r="Z121" s="1509">
        <f t="shared" si="79"/>
        <v>9456.9239588988967</v>
      </c>
      <c r="AA121" s="1511">
        <f t="shared" si="80"/>
        <v>7228.1176625067383</v>
      </c>
      <c r="AB121" s="1091">
        <f t="shared" si="40"/>
        <v>0.76432016308063178</v>
      </c>
      <c r="AC121" s="135" t="str">
        <f t="shared" si="41"/>
        <v>Yes</v>
      </c>
      <c r="AD121" s="1091">
        <f t="shared" si="42"/>
        <v>0.76432016308063178</v>
      </c>
      <c r="AE121" s="649">
        <f t="shared" si="10"/>
        <v>0.35803801704304605</v>
      </c>
      <c r="AF121" s="530">
        <f t="shared" si="43"/>
        <v>272.36080273005246</v>
      </c>
      <c r="AG121" s="528">
        <f t="shared" si="44"/>
        <v>2228.8062963921584</v>
      </c>
      <c r="AH121" s="528">
        <f t="shared" si="81"/>
        <v>10021.82489338851</v>
      </c>
      <c r="AI121" s="528">
        <f t="shared" si="82"/>
        <v>6437.6604656145792</v>
      </c>
      <c r="AJ121" s="528">
        <f t="shared" si="11"/>
        <v>872.2834308675798</v>
      </c>
      <c r="AK121" s="528">
        <f t="shared" si="45"/>
        <v>19560.575086262827</v>
      </c>
      <c r="AL121" s="716">
        <f t="shared" si="12"/>
        <v>0</v>
      </c>
      <c r="AM121" s="417">
        <f t="shared" si="46"/>
        <v>0.11394380208981811</v>
      </c>
      <c r="AN121" s="417">
        <f t="shared" si="47"/>
        <v>0.51234817223889928</v>
      </c>
      <c r="AO121" s="417">
        <f t="shared" si="48"/>
        <v>0.32911406935758636</v>
      </c>
      <c r="AP121" s="417">
        <f t="shared" si="49"/>
        <v>4.4593956313696254E-2</v>
      </c>
      <c r="AQ121" s="417">
        <f t="shared" si="50"/>
        <v>1</v>
      </c>
      <c r="AR121" s="1086">
        <f t="shared" si="13"/>
        <v>485.78790940522276</v>
      </c>
      <c r="AS121" s="938">
        <f t="shared" si="14"/>
        <v>616.11049254203056</v>
      </c>
      <c r="AT121" s="938">
        <f t="shared" si="15"/>
        <v>119.9986411487795</v>
      </c>
      <c r="AU121" s="938">
        <f t="shared" si="16"/>
        <v>0</v>
      </c>
      <c r="AV121" s="938">
        <f t="shared" si="17"/>
        <v>0</v>
      </c>
      <c r="AW121" s="938">
        <f t="shared" si="18"/>
        <v>0</v>
      </c>
      <c r="AX121" s="938">
        <f t="shared" si="19"/>
        <v>838.03046100982215</v>
      </c>
      <c r="AY121" s="938">
        <f t="shared" si="20"/>
        <v>67.502900769909758</v>
      </c>
      <c r="AZ121" s="938">
        <f t="shared" si="21"/>
        <v>18.97508314126237</v>
      </c>
      <c r="BA121" s="938">
        <f t="shared" si="22"/>
        <v>49.008943682793195</v>
      </c>
      <c r="BB121" s="938">
        <f t="shared" si="23"/>
        <v>33.391864692337244</v>
      </c>
      <c r="BC121" s="530">
        <f t="shared" si="51"/>
        <v>2228.8062963921579</v>
      </c>
      <c r="BD121" s="724">
        <f t="shared" si="52"/>
        <v>0</v>
      </c>
      <c r="BE121" s="436">
        <f t="shared" si="53"/>
        <v>0.2179587836733877</v>
      </c>
      <c r="BF121" s="624">
        <f t="shared" si="54"/>
        <v>0.276430703529216</v>
      </c>
      <c r="BG121" s="624">
        <f t="shared" si="55"/>
        <v>5.3839869953268366E-2</v>
      </c>
      <c r="BH121" s="624">
        <f t="shared" si="56"/>
        <v>0</v>
      </c>
      <c r="BI121" s="624">
        <f t="shared" si="57"/>
        <v>0</v>
      </c>
      <c r="BJ121" s="624">
        <f t="shared" si="58"/>
        <v>0</v>
      </c>
      <c r="BK121" s="624">
        <f t="shared" si="59"/>
        <v>0.45177064284412771</v>
      </c>
      <c r="BL121" s="624">
        <f t="shared" si="60"/>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73.941496439318925</v>
      </c>
      <c r="BW121" s="114">
        <f t="shared" si="63"/>
        <v>0.784738628072296</v>
      </c>
      <c r="BX121" s="1689">
        <f t="shared" si="24"/>
        <v>11.135124826855309</v>
      </c>
      <c r="BY121" s="527">
        <f t="shared" si="64"/>
        <v>73.941496439318925</v>
      </c>
      <c r="BZ121" s="417">
        <f t="shared" si="65"/>
        <v>0.784738628072296</v>
      </c>
      <c r="CA121" s="544">
        <f t="shared" si="25"/>
        <v>11.135124826855309</v>
      </c>
      <c r="CB121" s="649">
        <f t="shared" si="26"/>
        <v>0.35803801704304605</v>
      </c>
      <c r="CC121" s="525">
        <f t="shared" si="66"/>
        <v>0.42393257563141884</v>
      </c>
      <c r="CD121" s="417">
        <f t="shared" si="27"/>
        <v>0.35803801704304605</v>
      </c>
      <c r="CE121" s="525">
        <f t="shared" si="67"/>
        <v>0.42393257563141884</v>
      </c>
      <c r="CG121" s="527">
        <f t="shared" si="68"/>
        <v>1903.1456947640361</v>
      </c>
      <c r="CH121" s="528">
        <f t="shared" si="69"/>
        <v>838.04858540064276</v>
      </c>
      <c r="CI121" s="528">
        <f t="shared" si="70"/>
        <v>3191.7047142866213</v>
      </c>
      <c r="CJ121" s="528">
        <f t="shared" si="71"/>
        <v>4040.2970065430868</v>
      </c>
      <c r="CK121" s="528">
        <f t="shared" si="72"/>
        <v>48.628892394122417</v>
      </c>
      <c r="CL121" s="528">
        <f t="shared" si="73"/>
        <v>10021.82489338851</v>
      </c>
      <c r="CM121" s="646">
        <f t="shared" si="74"/>
        <v>0</v>
      </c>
    </row>
    <row r="122" spans="1:91">
      <c r="A122" s="873">
        <f>'Input data'!A142</f>
        <v>2042</v>
      </c>
      <c r="B122" s="1551">
        <f>'Input data'!B142</f>
        <v>72.264673338395411</v>
      </c>
      <c r="C122" s="1550">
        <f>'Input data'!C142</f>
        <v>7114.4180841945599</v>
      </c>
      <c r="D122" s="1550">
        <f>'Input data'!D142</f>
        <v>8672721.8784518428</v>
      </c>
      <c r="E122" s="1455">
        <f t="shared" si="89"/>
        <v>1</v>
      </c>
      <c r="F122" s="1449">
        <f t="shared" si="89"/>
        <v>0.37</v>
      </c>
      <c r="G122" s="1554">
        <f>B122*F122*'Input data'!$C$9</f>
        <v>818.37021528338698</v>
      </c>
      <c r="H122" s="1542">
        <f>'Input data'!I142</f>
        <v>424.26313389388866</v>
      </c>
      <c r="I122" s="1509">
        <f>'Input data'!K142</f>
        <v>30659.23678036578</v>
      </c>
      <c r="J122" s="1509">
        <f t="shared" si="91"/>
        <v>2228.8062963921584</v>
      </c>
      <c r="K122" s="1511">
        <f t="shared" si="77"/>
        <v>12019.106640424758</v>
      </c>
      <c r="L122" s="1504">
        <f t="shared" si="90"/>
        <v>0.7</v>
      </c>
      <c r="M122" s="1504">
        <f t="shared" si="88"/>
        <v>0.6</v>
      </c>
      <c r="N122" s="1504">
        <f t="shared" si="88"/>
        <v>0.9</v>
      </c>
      <c r="O122" s="1504">
        <f t="shared" si="88"/>
        <v>0.9</v>
      </c>
      <c r="P122" s="1504">
        <f t="shared" si="88"/>
        <v>0.23600000000000002</v>
      </c>
      <c r="Q122" s="1508">
        <f t="shared" si="33"/>
        <v>328.27988546368874</v>
      </c>
      <c r="R122" s="1509">
        <f t="shared" si="34"/>
        <v>229.08390718992371</v>
      </c>
      <c r="S122" s="1509">
        <f t="shared" si="35"/>
        <v>670.85255050513342</v>
      </c>
      <c r="T122" s="1509">
        <f t="shared" si="36"/>
        <v>451.7101118317396</v>
      </c>
      <c r="U122" s="1511">
        <f t="shared" si="37"/>
        <v>0</v>
      </c>
      <c r="V122" s="1509">
        <f t="shared" si="38"/>
        <v>1679.9264549904856</v>
      </c>
      <c r="W122" s="1454">
        <f t="shared" si="87"/>
        <v>0.5</v>
      </c>
      <c r="X122" s="530">
        <f t="shared" si="39"/>
        <v>3033.4854703020706</v>
      </c>
      <c r="Y122" s="1508">
        <f t="shared" si="78"/>
        <v>4713.4119252925557</v>
      </c>
      <c r="Z122" s="1509">
        <f t="shared" si="79"/>
        <v>9534.5010115243604</v>
      </c>
      <c r="AA122" s="1511">
        <f t="shared" si="80"/>
        <v>7305.694715132202</v>
      </c>
      <c r="AB122" s="1091">
        <f t="shared" si="40"/>
        <v>0.76623776181908232</v>
      </c>
      <c r="AC122" s="135" t="str">
        <f t="shared" si="41"/>
        <v>Yes</v>
      </c>
      <c r="AD122" s="1091">
        <f t="shared" si="42"/>
        <v>0.76623776181908232</v>
      </c>
      <c r="AE122" s="649">
        <f t="shared" si="10"/>
        <v>0.36002659202487586</v>
      </c>
      <c r="AF122" s="530">
        <f t="shared" si="43"/>
        <v>271.51712367627835</v>
      </c>
      <c r="AG122" s="528">
        <f t="shared" si="44"/>
        <v>2228.8062963921584</v>
      </c>
      <c r="AH122" s="528">
        <f t="shared" si="81"/>
        <v>10084.069741450892</v>
      </c>
      <c r="AI122" s="528">
        <f t="shared" si="82"/>
        <v>6437.6604656145792</v>
      </c>
      <c r="AJ122" s="528">
        <f t="shared" si="11"/>
        <v>870.55974478933149</v>
      </c>
      <c r="AK122" s="528">
        <f t="shared" si="45"/>
        <v>19621.096248246962</v>
      </c>
      <c r="AL122" s="716">
        <f t="shared" si="12"/>
        <v>0</v>
      </c>
      <c r="AM122" s="417">
        <f t="shared" si="46"/>
        <v>0.11359234306754344</v>
      </c>
      <c r="AN122" s="417">
        <f t="shared" si="47"/>
        <v>0.51394018019517385</v>
      </c>
      <c r="AO122" s="417">
        <f t="shared" si="48"/>
        <v>0.32809891884556391</v>
      </c>
      <c r="AP122" s="417">
        <f t="shared" si="49"/>
        <v>4.4368557891718778E-2</v>
      </c>
      <c r="AQ122" s="417">
        <f t="shared" si="50"/>
        <v>1</v>
      </c>
      <c r="AR122" s="1086">
        <f t="shared" si="13"/>
        <v>486.76964405756706</v>
      </c>
      <c r="AS122" s="938">
        <f t="shared" si="14"/>
        <v>617.35559767637187</v>
      </c>
      <c r="AT122" s="938">
        <f t="shared" si="15"/>
        <v>119.76151640258189</v>
      </c>
      <c r="AU122" s="938">
        <f t="shared" si="16"/>
        <v>0</v>
      </c>
      <c r="AV122" s="938">
        <f t="shared" si="17"/>
        <v>0</v>
      </c>
      <c r="AW122" s="938">
        <f t="shared" si="18"/>
        <v>0</v>
      </c>
      <c r="AX122" s="938">
        <f t="shared" si="19"/>
        <v>836.374460921234</v>
      </c>
      <c r="AY122" s="938">
        <f t="shared" si="20"/>
        <v>67.369510857662121</v>
      </c>
      <c r="AZ122" s="938">
        <f t="shared" si="21"/>
        <v>18.937587201884394</v>
      </c>
      <c r="BA122" s="938">
        <f t="shared" si="22"/>
        <v>48.912098975045339</v>
      </c>
      <c r="BB122" s="938">
        <f t="shared" si="23"/>
        <v>33.325880299810507</v>
      </c>
      <c r="BC122" s="530">
        <f t="shared" si="51"/>
        <v>2228.8062963921575</v>
      </c>
      <c r="BD122" s="724">
        <f t="shared" si="52"/>
        <v>0</v>
      </c>
      <c r="BE122" s="436">
        <f t="shared" si="53"/>
        <v>0.21839925921131736</v>
      </c>
      <c r="BF122" s="624">
        <f t="shared" si="54"/>
        <v>0.27698934567607147</v>
      </c>
      <c r="BG122" s="624">
        <f t="shared" si="55"/>
        <v>5.373347903603997E-2</v>
      </c>
      <c r="BH122" s="624">
        <f t="shared" si="56"/>
        <v>0</v>
      </c>
      <c r="BI122" s="624">
        <f t="shared" si="57"/>
        <v>0</v>
      </c>
      <c r="BJ122" s="624">
        <f t="shared" si="58"/>
        <v>0</v>
      </c>
      <c r="BK122" s="624">
        <f t="shared" si="59"/>
        <v>0.45087791607657107</v>
      </c>
      <c r="BL122" s="624">
        <f t="shared" si="60"/>
        <v>0.99999999999999978</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74.009549575405472</v>
      </c>
      <c r="BW122" s="114">
        <f t="shared" si="63"/>
        <v>0.78493656484561802</v>
      </c>
      <c r="BX122" s="1689">
        <f t="shared" si="24"/>
        <v>8.6727218784518421</v>
      </c>
      <c r="BY122" s="527">
        <f t="shared" si="64"/>
        <v>74.009549575405472</v>
      </c>
      <c r="BZ122" s="417">
        <f t="shared" si="65"/>
        <v>0.78493656484561802</v>
      </c>
      <c r="CA122" s="544">
        <f t="shared" si="25"/>
        <v>8.6727218784518421</v>
      </c>
      <c r="CB122" s="649">
        <f t="shared" si="26"/>
        <v>0.36002659202487586</v>
      </c>
      <c r="CC122" s="525">
        <f t="shared" si="66"/>
        <v>0.42303586537028126</v>
      </c>
      <c r="CD122" s="417">
        <f t="shared" si="27"/>
        <v>0.36002659202487586</v>
      </c>
      <c r="CE122" s="525">
        <f t="shared" si="67"/>
        <v>0.42303586537028126</v>
      </c>
      <c r="CG122" s="527">
        <f t="shared" si="68"/>
        <v>1914.9659985381836</v>
      </c>
      <c r="CH122" s="528">
        <f t="shared" si="69"/>
        <v>843.25364609787891</v>
      </c>
      <c r="CI122" s="528">
        <f t="shared" si="70"/>
        <v>3211.5281673118106</v>
      </c>
      <c r="CJ122" s="528">
        <f t="shared" si="71"/>
        <v>4065.3910064856605</v>
      </c>
      <c r="CK122" s="528">
        <f t="shared" si="72"/>
        <v>48.930923017358609</v>
      </c>
      <c r="CL122" s="528">
        <f t="shared" si="73"/>
        <v>10084.069741450892</v>
      </c>
      <c r="CM122" s="646">
        <f t="shared" si="74"/>
        <v>0</v>
      </c>
    </row>
    <row r="123" spans="1:91">
      <c r="A123" s="873">
        <f>'Input data'!A143</f>
        <v>2043</v>
      </c>
      <c r="B123" s="1551">
        <f>'Input data'!B143</f>
        <v>72.713504131197794</v>
      </c>
      <c r="C123" s="1550">
        <f>'Input data'!C143</f>
        <v>7308.347295357521</v>
      </c>
      <c r="D123" s="1550">
        <f>'Input data'!D143</f>
        <v>6210318.9300483763</v>
      </c>
      <c r="E123" s="1455">
        <f t="shared" si="89"/>
        <v>1</v>
      </c>
      <c r="F123" s="1449">
        <f t="shared" si="89"/>
        <v>0.37</v>
      </c>
      <c r="G123" s="1554">
        <f>B123*F123*'Input data'!$C$9</f>
        <v>823.4530550107803</v>
      </c>
      <c r="H123" s="1542">
        <f>'Input data'!I143</f>
        <v>424.26313389388866</v>
      </c>
      <c r="I123" s="1509">
        <f>'Input data'!K143</f>
        <v>30849.659139108197</v>
      </c>
      <c r="J123" s="1509">
        <f t="shared" si="91"/>
        <v>2228.8062963921584</v>
      </c>
      <c r="K123" s="1511">
        <f t="shared" si="77"/>
        <v>12107.59942346503</v>
      </c>
      <c r="L123" s="1504">
        <f t="shared" si="90"/>
        <v>0.7</v>
      </c>
      <c r="M123" s="1504">
        <f t="shared" si="88"/>
        <v>0.6</v>
      </c>
      <c r="N123" s="1504">
        <f t="shared" si="88"/>
        <v>0.9</v>
      </c>
      <c r="O123" s="1504">
        <f t="shared" si="88"/>
        <v>0.9</v>
      </c>
      <c r="P123" s="1504">
        <f t="shared" si="88"/>
        <v>0.23600000000000002</v>
      </c>
      <c r="Q123" s="1508">
        <f t="shared" si="33"/>
        <v>330.31880869473662</v>
      </c>
      <c r="R123" s="1509">
        <f t="shared" si="34"/>
        <v>230.50673119136695</v>
      </c>
      <c r="S123" s="1509">
        <f t="shared" si="35"/>
        <v>675.01916841381399</v>
      </c>
      <c r="T123" s="1509">
        <f t="shared" si="36"/>
        <v>454.51565149924636</v>
      </c>
      <c r="U123" s="1511">
        <f t="shared" si="37"/>
        <v>0</v>
      </c>
      <c r="V123" s="1509">
        <f t="shared" si="38"/>
        <v>1690.3603597991639</v>
      </c>
      <c r="W123" s="1454">
        <f t="shared" si="87"/>
        <v>0.5</v>
      </c>
      <c r="X123" s="530">
        <f t="shared" si="39"/>
        <v>3033.4854703020706</v>
      </c>
      <c r="Y123" s="1508">
        <f t="shared" si="78"/>
        <v>4723.8458301012342</v>
      </c>
      <c r="Z123" s="1509">
        <f t="shared" si="79"/>
        <v>9612.5598897559539</v>
      </c>
      <c r="AA123" s="1511">
        <f t="shared" si="80"/>
        <v>7383.7535933637955</v>
      </c>
      <c r="AB123" s="1091">
        <f t="shared" si="40"/>
        <v>0.7681360301570257</v>
      </c>
      <c r="AC123" s="135" t="str">
        <f t="shared" si="41"/>
        <v>Yes</v>
      </c>
      <c r="AD123" s="1091">
        <f t="shared" si="42"/>
        <v>0.7681360301570257</v>
      </c>
      <c r="AE123" s="649">
        <f t="shared" si="10"/>
        <v>0.36200198208013235</v>
      </c>
      <c r="AF123" s="530">
        <f t="shared" si="43"/>
        <v>270.67903850077238</v>
      </c>
      <c r="AG123" s="528">
        <f t="shared" si="44"/>
        <v>2228.8062963921584</v>
      </c>
      <c r="AH123" s="528">
        <f t="shared" si="81"/>
        <v>10146.701187877499</v>
      </c>
      <c r="AI123" s="528">
        <f t="shared" si="82"/>
        <v>6437.6604656145792</v>
      </c>
      <c r="AJ123" s="528">
        <f t="shared" si="11"/>
        <v>868.85343437032486</v>
      </c>
      <c r="AK123" s="528">
        <f t="shared" si="45"/>
        <v>19682.02138425456</v>
      </c>
      <c r="AL123" s="716">
        <f t="shared" si="12"/>
        <v>0</v>
      </c>
      <c r="AM123" s="417">
        <f t="shared" si="46"/>
        <v>0.11324072120840105</v>
      </c>
      <c r="AN123" s="417">
        <f t="shared" si="47"/>
        <v>0.51553145836914749</v>
      </c>
      <c r="AO123" s="417">
        <f t="shared" si="48"/>
        <v>0.32708329799726005</v>
      </c>
      <c r="AP123" s="417">
        <f t="shared" si="49"/>
        <v>4.414452242519154E-2</v>
      </c>
      <c r="AQ123" s="417">
        <f t="shared" si="50"/>
        <v>1</v>
      </c>
      <c r="AR123" s="1086">
        <f t="shared" si="13"/>
        <v>487.74148230998145</v>
      </c>
      <c r="AS123" s="938">
        <f t="shared" si="14"/>
        <v>618.58815149826364</v>
      </c>
      <c r="AT123" s="938">
        <f t="shared" si="15"/>
        <v>119.52678199812902</v>
      </c>
      <c r="AU123" s="938">
        <f t="shared" si="16"/>
        <v>0</v>
      </c>
      <c r="AV123" s="938">
        <f t="shared" si="17"/>
        <v>0</v>
      </c>
      <c r="AW123" s="938">
        <f t="shared" si="18"/>
        <v>0</v>
      </c>
      <c r="AX123" s="938">
        <f t="shared" si="19"/>
        <v>834.73515418163026</v>
      </c>
      <c r="AY123" s="938">
        <f t="shared" si="20"/>
        <v>67.237465585654235</v>
      </c>
      <c r="AZ123" s="938">
        <f t="shared" si="21"/>
        <v>18.900469241231164</v>
      </c>
      <c r="BA123" s="938">
        <f t="shared" si="22"/>
        <v>48.816230512718512</v>
      </c>
      <c r="BB123" s="938">
        <f t="shared" si="23"/>
        <v>33.260561064550103</v>
      </c>
      <c r="BC123" s="530">
        <f t="shared" si="51"/>
        <v>2228.8062963921584</v>
      </c>
      <c r="BD123" s="724">
        <f t="shared" si="52"/>
        <v>0</v>
      </c>
      <c r="BE123" s="436">
        <f t="shared" si="53"/>
        <v>0.21883529452492329</v>
      </c>
      <c r="BF123" s="624">
        <f t="shared" si="54"/>
        <v>0.27754235641724118</v>
      </c>
      <c r="BG123" s="624">
        <f t="shared" si="55"/>
        <v>5.3628160595028347E-2</v>
      </c>
      <c r="BH123" s="624">
        <f t="shared" si="56"/>
        <v>0</v>
      </c>
      <c r="BI123" s="624">
        <f t="shared" si="57"/>
        <v>0</v>
      </c>
      <c r="BJ123" s="624">
        <f t="shared" si="58"/>
        <v>0</v>
      </c>
      <c r="BK123" s="624">
        <f t="shared" si="59"/>
        <v>0.4499941884628072</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74.079894480752344</v>
      </c>
      <c r="BW123" s="114">
        <f t="shared" si="63"/>
        <v>0.78514078512826757</v>
      </c>
      <c r="BX123" s="1689">
        <f t="shared" si="24"/>
        <v>6.2103189300483761</v>
      </c>
      <c r="BY123" s="527">
        <f t="shared" si="64"/>
        <v>74.079894480752344</v>
      </c>
      <c r="BZ123" s="417">
        <f t="shared" si="65"/>
        <v>0.78514078512826757</v>
      </c>
      <c r="CA123" s="544">
        <f t="shared" si="25"/>
        <v>6.2103189300483761</v>
      </c>
      <c r="CB123" s="649">
        <f t="shared" si="26"/>
        <v>0.36200198208013235</v>
      </c>
      <c r="CC123" s="525">
        <f t="shared" si="66"/>
        <v>0.42214374513725073</v>
      </c>
      <c r="CD123" s="417">
        <f t="shared" si="27"/>
        <v>0.36200198208013235</v>
      </c>
      <c r="CE123" s="525">
        <f t="shared" si="67"/>
        <v>0.42214374513725073</v>
      </c>
      <c r="CG123" s="527">
        <f t="shared" si="68"/>
        <v>1926.8597173859628</v>
      </c>
      <c r="CH123" s="528">
        <f t="shared" si="69"/>
        <v>848.49103506024642</v>
      </c>
      <c r="CI123" s="528">
        <f t="shared" si="70"/>
        <v>3231.4747424065586</v>
      </c>
      <c r="CJ123" s="528">
        <f t="shared" si="71"/>
        <v>4090.6408634932222</v>
      </c>
      <c r="CK123" s="528">
        <f t="shared" si="72"/>
        <v>49.23482953150824</v>
      </c>
      <c r="CL123" s="528">
        <f t="shared" si="73"/>
        <v>10146.701187877499</v>
      </c>
      <c r="CM123" s="646">
        <f t="shared" si="74"/>
        <v>0</v>
      </c>
    </row>
    <row r="124" spans="1:91">
      <c r="A124" s="873">
        <f>'Input data'!A144</f>
        <v>2044</v>
      </c>
      <c r="B124" s="1551">
        <f>'Input data'!B144</f>
        <v>73.165122580420132</v>
      </c>
      <c r="C124" s="1550">
        <f>'Input data'!C144</f>
        <v>7506.518596985471</v>
      </c>
      <c r="D124" s="1550">
        <f>'Input data'!D144</f>
        <v>3747915.9816449117</v>
      </c>
      <c r="E124" s="1455">
        <f t="shared" si="89"/>
        <v>1</v>
      </c>
      <c r="F124" s="1449">
        <f t="shared" si="89"/>
        <v>0.37</v>
      </c>
      <c r="G124" s="1554">
        <f>B124*F124*'Input data'!$C$9</f>
        <v>828.56746389747582</v>
      </c>
      <c r="H124" s="1542">
        <f>'Input data'!I144</f>
        <v>424.26313389388866</v>
      </c>
      <c r="I124" s="1509">
        <f>'Input data'!K144</f>
        <v>31041.264197699562</v>
      </c>
      <c r="J124" s="1509">
        <f t="shared" si="91"/>
        <v>2228.8062963921584</v>
      </c>
      <c r="K124" s="1511">
        <f t="shared" si="77"/>
        <v>12196.641828943688</v>
      </c>
      <c r="L124" s="1504">
        <f t="shared" si="90"/>
        <v>0.7</v>
      </c>
      <c r="M124" s="1504">
        <f t="shared" si="88"/>
        <v>0.6</v>
      </c>
      <c r="N124" s="1504">
        <f t="shared" si="88"/>
        <v>0.9</v>
      </c>
      <c r="O124" s="1504">
        <f t="shared" si="88"/>
        <v>0.9</v>
      </c>
      <c r="P124" s="1504">
        <f t="shared" si="88"/>
        <v>0.23600000000000002</v>
      </c>
      <c r="Q124" s="1508">
        <f t="shared" si="33"/>
        <v>332.37039553426666</v>
      </c>
      <c r="R124" s="1509">
        <f t="shared" si="34"/>
        <v>231.93839225240072</v>
      </c>
      <c r="S124" s="1509">
        <f t="shared" si="35"/>
        <v>679.21166489265715</v>
      </c>
      <c r="T124" s="1509">
        <f t="shared" si="36"/>
        <v>457.33861617588991</v>
      </c>
      <c r="U124" s="1511">
        <f t="shared" si="37"/>
        <v>0</v>
      </c>
      <c r="V124" s="1509">
        <f t="shared" si="38"/>
        <v>1700.8590688552144</v>
      </c>
      <c r="W124" s="1454">
        <f t="shared" si="87"/>
        <v>0.5</v>
      </c>
      <c r="X124" s="530">
        <f t="shared" si="39"/>
        <v>3033.4854703020706</v>
      </c>
      <c r="Y124" s="1508">
        <f t="shared" si="78"/>
        <v>4734.344539157285</v>
      </c>
      <c r="Z124" s="1509">
        <f t="shared" si="79"/>
        <v>9691.1035861785604</v>
      </c>
      <c r="AA124" s="1511">
        <f t="shared" si="80"/>
        <v>7462.297289786402</v>
      </c>
      <c r="AB124" s="1091">
        <f t="shared" si="40"/>
        <v>0.77001522307832115</v>
      </c>
      <c r="AC124" s="135" t="str">
        <f t="shared" si="41"/>
        <v>Yes</v>
      </c>
      <c r="AD124" s="1091">
        <f t="shared" si="42"/>
        <v>0.77001522307832115</v>
      </c>
      <c r="AE124" s="649">
        <f t="shared" si="10"/>
        <v>0.36396428507300427</v>
      </c>
      <c r="AF124" s="530">
        <f t="shared" si="43"/>
        <v>269.84650568336718</v>
      </c>
      <c r="AG124" s="528">
        <f t="shared" si="44"/>
        <v>2228.8062963921584</v>
      </c>
      <c r="AH124" s="528">
        <f t="shared" si="81"/>
        <v>10209.721633803518</v>
      </c>
      <c r="AI124" s="528">
        <f t="shared" si="82"/>
        <v>6437.6604656145792</v>
      </c>
      <c r="AJ124" s="528">
        <f t="shared" si="11"/>
        <v>867.16427041134273</v>
      </c>
      <c r="AK124" s="528">
        <f t="shared" si="45"/>
        <v>19743.352666221599</v>
      </c>
      <c r="AL124" s="716">
        <f t="shared" si="12"/>
        <v>0</v>
      </c>
      <c r="AM124" s="417">
        <f t="shared" si="46"/>
        <v>0.11288894718501212</v>
      </c>
      <c r="AN124" s="417">
        <f t="shared" si="47"/>
        <v>0.51712198056772152</v>
      </c>
      <c r="AO124" s="417">
        <f t="shared" si="48"/>
        <v>0.32606723763936046</v>
      </c>
      <c r="AP124" s="417">
        <f t="shared" si="49"/>
        <v>4.3921834607905885E-2</v>
      </c>
      <c r="AQ124" s="417">
        <f t="shared" si="50"/>
        <v>0.99999999999999989</v>
      </c>
      <c r="AR124" s="1086">
        <f t="shared" si="13"/>
        <v>488.70355470410806</v>
      </c>
      <c r="AS124" s="938">
        <f t="shared" si="14"/>
        <v>619.80831956982433</v>
      </c>
      <c r="AT124" s="938">
        <f t="shared" si="15"/>
        <v>119.29440640485001</v>
      </c>
      <c r="AU124" s="938">
        <f t="shared" si="16"/>
        <v>0</v>
      </c>
      <c r="AV124" s="938">
        <f t="shared" si="17"/>
        <v>0</v>
      </c>
      <c r="AW124" s="938">
        <f t="shared" si="18"/>
        <v>0</v>
      </c>
      <c r="AX124" s="938">
        <f t="shared" si="19"/>
        <v>833.11232059202621</v>
      </c>
      <c r="AY124" s="938">
        <f t="shared" si="20"/>
        <v>67.106747216976913</v>
      </c>
      <c r="AZ124" s="938">
        <f t="shared" si="21"/>
        <v>18.863724273452689</v>
      </c>
      <c r="BA124" s="938">
        <f t="shared" si="22"/>
        <v>48.721325418333805</v>
      </c>
      <c r="BB124" s="938">
        <f t="shared" si="23"/>
        <v>33.195898212585334</v>
      </c>
      <c r="BC124" s="530">
        <f t="shared" si="51"/>
        <v>2228.8062963921575</v>
      </c>
      <c r="BD124" s="724">
        <f t="shared" si="52"/>
        <v>0</v>
      </c>
      <c r="BE124" s="436">
        <f t="shared" si="53"/>
        <v>0.21926694818441095</v>
      </c>
      <c r="BF124" s="624">
        <f t="shared" si="54"/>
        <v>0.27808981003559108</v>
      </c>
      <c r="BG124" s="624">
        <f t="shared" si="55"/>
        <v>5.3523900483391409E-2</v>
      </c>
      <c r="BH124" s="624">
        <f t="shared" si="56"/>
        <v>0</v>
      </c>
      <c r="BI124" s="624">
        <f t="shared" si="57"/>
        <v>0</v>
      </c>
      <c r="BJ124" s="624">
        <f t="shared" si="58"/>
        <v>0</v>
      </c>
      <c r="BK124" s="624">
        <f t="shared" si="59"/>
        <v>0.44911934129660652</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74.172397046004178</v>
      </c>
      <c r="BW124" s="114">
        <f t="shared" si="63"/>
        <v>0.78540874233789215</v>
      </c>
      <c r="BX124" s="1689">
        <f t="shared" si="24"/>
        <v>3.7479159816449119</v>
      </c>
      <c r="BY124" s="527">
        <f t="shared" si="64"/>
        <v>74.172397046004178</v>
      </c>
      <c r="BZ124" s="417">
        <f t="shared" si="65"/>
        <v>0.78540874233789215</v>
      </c>
      <c r="CA124" s="544">
        <f t="shared" si="25"/>
        <v>3.7479159816449119</v>
      </c>
      <c r="CB124" s="649">
        <f t="shared" si="26"/>
        <v>0.36396428507300427</v>
      </c>
      <c r="CC124" s="525">
        <f t="shared" si="66"/>
        <v>0.42133195051404215</v>
      </c>
      <c r="CD124" s="417">
        <f t="shared" si="27"/>
        <v>0.36396428507300427</v>
      </c>
      <c r="CE124" s="525">
        <f t="shared" si="67"/>
        <v>0.42133195051404215</v>
      </c>
      <c r="CG124" s="527">
        <f t="shared" si="68"/>
        <v>1938.8273072832219</v>
      </c>
      <c r="CH124" s="528">
        <f t="shared" si="69"/>
        <v>853.76095307632158</v>
      </c>
      <c r="CI124" s="528">
        <f t="shared" si="70"/>
        <v>3251.5452042733609</v>
      </c>
      <c r="CJ124" s="528">
        <f t="shared" si="71"/>
        <v>4116.0475455830165</v>
      </c>
      <c r="CK124" s="528">
        <f t="shared" si="72"/>
        <v>49.540623587597544</v>
      </c>
      <c r="CL124" s="528">
        <f t="shared" si="73"/>
        <v>10209.72163380352</v>
      </c>
      <c r="CM124" s="646">
        <f t="shared" si="74"/>
        <v>0</v>
      </c>
    </row>
    <row r="125" spans="1:91">
      <c r="A125" s="873">
        <f>'Input data'!A145</f>
        <v>2045</v>
      </c>
      <c r="B125" s="1551">
        <f>'Input data'!B145</f>
        <v>73.619545999999971</v>
      </c>
      <c r="C125" s="1550">
        <f>'Input data'!C145</f>
        <v>7710.3236783048815</v>
      </c>
      <c r="D125" s="1550">
        <f>'Input data'!D145</f>
        <v>1285513.0332414466</v>
      </c>
      <c r="E125" s="1455">
        <f t="shared" si="89"/>
        <v>1</v>
      </c>
      <c r="F125" s="1449">
        <f t="shared" si="89"/>
        <v>0.37</v>
      </c>
      <c r="G125" s="1554">
        <f>B125*F125*'Input data'!$C$9</f>
        <v>833.71363801729672</v>
      </c>
      <c r="H125" s="1542">
        <f>'Input data'!I145</f>
        <v>424.26313389388866</v>
      </c>
      <c r="I125" s="1509">
        <f>'Input data'!K145</f>
        <v>31234.059301805282</v>
      </c>
      <c r="J125" s="1509">
        <f t="shared" si="91"/>
        <v>2228.8062963921584</v>
      </c>
      <c r="K125" s="1511">
        <f t="shared" si="77"/>
        <v>12286.237270526955</v>
      </c>
      <c r="L125" s="1504">
        <f t="shared" si="90"/>
        <v>0.7</v>
      </c>
      <c r="M125" s="1504">
        <f t="shared" si="88"/>
        <v>0.6</v>
      </c>
      <c r="N125" s="1504">
        <f t="shared" si="88"/>
        <v>0.9</v>
      </c>
      <c r="O125" s="1504">
        <f t="shared" si="88"/>
        <v>0.9</v>
      </c>
      <c r="P125" s="1504">
        <f t="shared" si="88"/>
        <v>0.23600000000000002</v>
      </c>
      <c r="Q125" s="1508">
        <f t="shared" si="33"/>
        <v>334.43472463505896</v>
      </c>
      <c r="R125" s="1509">
        <f t="shared" si="34"/>
        <v>233.37894525937941</v>
      </c>
      <c r="S125" s="1509">
        <f t="shared" si="35"/>
        <v>683.43020067163843</v>
      </c>
      <c r="T125" s="1509">
        <f t="shared" si="36"/>
        <v>460.17911408717418</v>
      </c>
      <c r="U125" s="1511">
        <f t="shared" si="37"/>
        <v>0</v>
      </c>
      <c r="V125" s="1509">
        <f t="shared" si="38"/>
        <v>1711.422984653251</v>
      </c>
      <c r="W125" s="1454">
        <f t="shared" si="87"/>
        <v>0.5</v>
      </c>
      <c r="X125" s="530">
        <f t="shared" si="39"/>
        <v>3033.4854703020706</v>
      </c>
      <c r="Y125" s="1508">
        <f t="shared" si="78"/>
        <v>4744.9084549553218</v>
      </c>
      <c r="Z125" s="1509">
        <f t="shared" si="79"/>
        <v>9770.1351119637911</v>
      </c>
      <c r="AA125" s="1511">
        <f t="shared" si="80"/>
        <v>7541.3288155716327</v>
      </c>
      <c r="AB125" s="1091">
        <f t="shared" si="40"/>
        <v>0.77187559119188376</v>
      </c>
      <c r="AC125" s="135" t="str">
        <f t="shared" si="41"/>
        <v>Yes</v>
      </c>
      <c r="AD125" s="1091">
        <f t="shared" si="42"/>
        <v>0.77187559119188376</v>
      </c>
      <c r="AE125" s="649">
        <f t="shared" si="10"/>
        <v>0.36591359792336786</v>
      </c>
      <c r="AF125" s="530">
        <f t="shared" si="43"/>
        <v>269.0194841045323</v>
      </c>
      <c r="AG125" s="528">
        <f t="shared" si="44"/>
        <v>2228.8062963921584</v>
      </c>
      <c r="AH125" s="528">
        <f t="shared" si="81"/>
        <v>10273.133495277429</v>
      </c>
      <c r="AI125" s="528">
        <f t="shared" si="82"/>
        <v>6437.6604656145792</v>
      </c>
      <c r="AJ125" s="528">
        <f t="shared" si="11"/>
        <v>865.49202764570771</v>
      </c>
      <c r="AK125" s="528">
        <f t="shared" si="45"/>
        <v>19805.092284929877</v>
      </c>
      <c r="AL125" s="716">
        <f t="shared" si="12"/>
        <v>0</v>
      </c>
      <c r="AM125" s="417">
        <f t="shared" si="46"/>
        <v>0.11253703160414483</v>
      </c>
      <c r="AN125" s="417">
        <f t="shared" si="47"/>
        <v>0.51871172057574699</v>
      </c>
      <c r="AO125" s="417">
        <f t="shared" si="48"/>
        <v>0.32505076840834185</v>
      </c>
      <c r="AP125" s="417">
        <f t="shared" si="49"/>
        <v>4.3700479411766198E-2</v>
      </c>
      <c r="AQ125" s="417">
        <f t="shared" si="50"/>
        <v>0.99999999999999989</v>
      </c>
      <c r="AR125" s="1086">
        <f t="shared" si="13"/>
        <v>489.65598954179325</v>
      </c>
      <c r="AS125" s="938">
        <f t="shared" si="14"/>
        <v>621.01626461250521</v>
      </c>
      <c r="AT125" s="938">
        <f t="shared" si="15"/>
        <v>119.06435863316699</v>
      </c>
      <c r="AU125" s="938">
        <f t="shared" si="16"/>
        <v>0</v>
      </c>
      <c r="AV125" s="938">
        <f t="shared" si="17"/>
        <v>0</v>
      </c>
      <c r="AW125" s="938">
        <f t="shared" si="18"/>
        <v>0</v>
      </c>
      <c r="AX125" s="938">
        <f t="shared" si="19"/>
        <v>831.50574373155371</v>
      </c>
      <c r="AY125" s="938">
        <f t="shared" si="20"/>
        <v>66.977338319046126</v>
      </c>
      <c r="AZ125" s="938">
        <f t="shared" si="21"/>
        <v>18.827347398245077</v>
      </c>
      <c r="BA125" s="938">
        <f t="shared" si="22"/>
        <v>48.627371035360618</v>
      </c>
      <c r="BB125" s="938">
        <f t="shared" si="23"/>
        <v>33.131883120487025</v>
      </c>
      <c r="BC125" s="530">
        <f t="shared" si="51"/>
        <v>2228.8062963921584</v>
      </c>
      <c r="BD125" s="724">
        <f t="shared" si="52"/>
        <v>0</v>
      </c>
      <c r="BE125" s="436">
        <f t="shared" si="53"/>
        <v>0.21969427775505454</v>
      </c>
      <c r="BF125" s="624">
        <f t="shared" si="54"/>
        <v>0.27863177953946222</v>
      </c>
      <c r="BG125" s="624">
        <f t="shared" si="55"/>
        <v>5.3420684797014596E-2</v>
      </c>
      <c r="BH125" s="624">
        <f t="shared" si="56"/>
        <v>0</v>
      </c>
      <c r="BI125" s="624">
        <f t="shared" si="57"/>
        <v>0</v>
      </c>
      <c r="BJ125" s="624">
        <f t="shared" si="58"/>
        <v>0</v>
      </c>
      <c r="BK125" s="624">
        <f t="shared" si="59"/>
        <v>0.44825325790846843</v>
      </c>
      <c r="BL125" s="624">
        <f t="shared" si="60"/>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74.294195412452794</v>
      </c>
      <c r="BW125" s="114">
        <f t="shared" si="63"/>
        <v>0.78576054458155742</v>
      </c>
      <c r="BX125" s="1689">
        <f t="shared" si="24"/>
        <v>1.2855130332414466</v>
      </c>
      <c r="BY125" s="527">
        <f t="shared" si="64"/>
        <v>74.294195412452794</v>
      </c>
      <c r="BZ125" s="417">
        <f t="shared" si="65"/>
        <v>0.78576054458155742</v>
      </c>
      <c r="CA125" s="544">
        <f t="shared" si="25"/>
        <v>1.2855130332414466</v>
      </c>
      <c r="CB125" s="649">
        <f t="shared" si="26"/>
        <v>0.36591359792336786</v>
      </c>
      <c r="CC125" s="525">
        <f t="shared" si="66"/>
        <v>0.42062927878451328</v>
      </c>
      <c r="CD125" s="417">
        <f t="shared" si="27"/>
        <v>0.36591359792336786</v>
      </c>
      <c r="CE125" s="525">
        <f t="shared" si="67"/>
        <v>0.42062927878451328</v>
      </c>
      <c r="CG125" s="527">
        <f t="shared" si="68"/>
        <v>1950.8692270378426</v>
      </c>
      <c r="CH125" s="528">
        <f t="shared" si="69"/>
        <v>859.06360218176451</v>
      </c>
      <c r="CI125" s="528">
        <f t="shared" si="70"/>
        <v>3271.7403223642282</v>
      </c>
      <c r="CJ125" s="528">
        <f t="shared" si="71"/>
        <v>4141.6120267845772</v>
      </c>
      <c r="CK125" s="528">
        <f t="shared" si="72"/>
        <v>49.848316909016496</v>
      </c>
      <c r="CL125" s="528">
        <f t="shared" si="73"/>
        <v>10273.133495277429</v>
      </c>
      <c r="CM125" s="646">
        <f t="shared" si="74"/>
        <v>0</v>
      </c>
    </row>
    <row r="126" spans="1:91">
      <c r="A126" s="873">
        <f>'Input data'!A146</f>
        <v>2046</v>
      </c>
      <c r="B126" s="1551">
        <f>'Input data'!B146</f>
        <v>73.995362001779526</v>
      </c>
      <c r="C126" s="1550">
        <f>'Input data'!C146</f>
        <v>7937.3408756753133</v>
      </c>
      <c r="D126" s="1550">
        <f>'Input data'!D146</f>
        <v>1075389.49817775</v>
      </c>
      <c r="E126" s="1455">
        <f t="shared" si="89"/>
        <v>1</v>
      </c>
      <c r="F126" s="1449">
        <f t="shared" si="89"/>
        <v>0.37</v>
      </c>
      <c r="G126" s="1554">
        <f>B126*F126*'Input data'!$C$9</f>
        <v>837.96961272907708</v>
      </c>
      <c r="H126" s="1542">
        <f>'Input data'!I146</f>
        <v>424.26313389388866</v>
      </c>
      <c r="I126" s="1509">
        <f>'Input data'!K146</f>
        <v>31393.50417648775</v>
      </c>
      <c r="J126" s="1509">
        <f t="shared" si="91"/>
        <v>2228.8062963921584</v>
      </c>
      <c r="K126" s="1511">
        <f t="shared" si="77"/>
        <v>12360.334245248529</v>
      </c>
      <c r="L126" s="1504">
        <f t="shared" si="90"/>
        <v>0.7</v>
      </c>
      <c r="M126" s="1504">
        <f t="shared" si="88"/>
        <v>0.6</v>
      </c>
      <c r="N126" s="1504">
        <f t="shared" si="88"/>
        <v>0.9</v>
      </c>
      <c r="O126" s="1504">
        <f t="shared" si="88"/>
        <v>0.9</v>
      </c>
      <c r="P126" s="1504">
        <f t="shared" si="88"/>
        <v>0.23600000000000002</v>
      </c>
      <c r="Q126" s="1508">
        <f t="shared" si="33"/>
        <v>336.14196038830005</v>
      </c>
      <c r="R126" s="1509">
        <f t="shared" si="34"/>
        <v>234.57030742978588</v>
      </c>
      <c r="S126" s="1509">
        <f t="shared" si="35"/>
        <v>686.91900248402408</v>
      </c>
      <c r="T126" s="1509">
        <f t="shared" si="36"/>
        <v>462.52825482703656</v>
      </c>
      <c r="U126" s="1511">
        <f t="shared" si="37"/>
        <v>0</v>
      </c>
      <c r="V126" s="1509">
        <f t="shared" si="38"/>
        <v>1720.1595251291465</v>
      </c>
      <c r="W126" s="1454">
        <f t="shared" si="87"/>
        <v>0.5</v>
      </c>
      <c r="X126" s="530">
        <f t="shared" si="39"/>
        <v>3033.4854703020706</v>
      </c>
      <c r="Y126" s="1508">
        <f t="shared" si="78"/>
        <v>4753.6449954312175</v>
      </c>
      <c r="Z126" s="1509">
        <f t="shared" si="79"/>
        <v>9835.4955462094695</v>
      </c>
      <c r="AA126" s="1511">
        <f t="shared" si="80"/>
        <v>7606.6892498173111</v>
      </c>
      <c r="AB126" s="1091">
        <f t="shared" si="40"/>
        <v>0.77339156060610237</v>
      </c>
      <c r="AC126" s="135" t="str">
        <f t="shared" si="41"/>
        <v>Yes</v>
      </c>
      <c r="AD126" s="1091">
        <f t="shared" si="42"/>
        <v>0.77339156060610237</v>
      </c>
      <c r="AE126" s="649">
        <f t="shared" si="10"/>
        <v>0.36750697834425616</v>
      </c>
      <c r="AF126" s="530">
        <f t="shared" si="43"/>
        <v>268.34347153368111</v>
      </c>
      <c r="AG126" s="528">
        <f t="shared" si="44"/>
        <v>2228.8062963921584</v>
      </c>
      <c r="AH126" s="528">
        <f t="shared" si="81"/>
        <v>10325.57619787088</v>
      </c>
      <c r="AI126" s="528">
        <f t="shared" si="82"/>
        <v>6437.6604656145792</v>
      </c>
      <c r="AJ126" s="528">
        <f t="shared" si="11"/>
        <v>864.12935707133613</v>
      </c>
      <c r="AK126" s="528">
        <f t="shared" si="45"/>
        <v>19856.172316948952</v>
      </c>
      <c r="AL126" s="716">
        <f t="shared" si="12"/>
        <v>0</v>
      </c>
      <c r="AM126" s="417">
        <f t="shared" si="46"/>
        <v>0.11224752992749164</v>
      </c>
      <c r="AN126" s="417">
        <f t="shared" si="47"/>
        <v>0.52001846242324923</v>
      </c>
      <c r="AO126" s="417">
        <f t="shared" si="48"/>
        <v>0.32421457483623273</v>
      </c>
      <c r="AP126" s="417">
        <f t="shared" si="49"/>
        <v>4.3519432813026476E-2</v>
      </c>
      <c r="AQ126" s="417">
        <f t="shared" si="50"/>
        <v>1</v>
      </c>
      <c r="AR126" s="1086">
        <f t="shared" si="13"/>
        <v>490.43210587728646</v>
      </c>
      <c r="AS126" s="938">
        <f t="shared" si="14"/>
        <v>622.00059009379629</v>
      </c>
      <c r="AT126" s="938">
        <f t="shared" si="15"/>
        <v>118.87689821437245</v>
      </c>
      <c r="AU126" s="938">
        <f t="shared" si="16"/>
        <v>0</v>
      </c>
      <c r="AV126" s="938">
        <f t="shared" si="17"/>
        <v>0</v>
      </c>
      <c r="AW126" s="938">
        <f t="shared" si="18"/>
        <v>0</v>
      </c>
      <c r="AX126" s="938">
        <f t="shared" si="19"/>
        <v>830.19658273039909</v>
      </c>
      <c r="AY126" s="938">
        <f t="shared" si="20"/>
        <v>66.871886107862451</v>
      </c>
      <c r="AZ126" s="938">
        <f t="shared" si="21"/>
        <v>18.797704753976223</v>
      </c>
      <c r="BA126" s="938">
        <f t="shared" si="22"/>
        <v>48.550809859171196</v>
      </c>
      <c r="BB126" s="938">
        <f t="shared" si="23"/>
        <v>33.079718755293953</v>
      </c>
      <c r="BC126" s="530">
        <f t="shared" si="51"/>
        <v>2228.8062963921579</v>
      </c>
      <c r="BD126" s="724">
        <f t="shared" si="52"/>
        <v>0</v>
      </c>
      <c r="BE126" s="436">
        <f t="shared" si="53"/>
        <v>0.22004249838631784</v>
      </c>
      <c r="BF126" s="624">
        <f t="shared" si="54"/>
        <v>0.27907341750633474</v>
      </c>
      <c r="BG126" s="624">
        <f t="shared" si="55"/>
        <v>5.3336576806518536E-2</v>
      </c>
      <c r="BH126" s="624">
        <f t="shared" si="56"/>
        <v>0</v>
      </c>
      <c r="BI126" s="624">
        <f t="shared" si="57"/>
        <v>0</v>
      </c>
      <c r="BJ126" s="624">
        <f t="shared" si="58"/>
        <v>0</v>
      </c>
      <c r="BK126" s="624">
        <f t="shared" si="59"/>
        <v>0.44754750730082893</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75.425267150084025</v>
      </c>
      <c r="BW126" s="114">
        <f t="shared" si="63"/>
        <v>0.78897326363798614</v>
      </c>
      <c r="BX126" s="1689">
        <f t="shared" si="24"/>
        <v>1.0753894981777501</v>
      </c>
      <c r="BY126" s="527">
        <f t="shared" si="64"/>
        <v>75.425267150084025</v>
      </c>
      <c r="BZ126" s="417">
        <f t="shared" si="65"/>
        <v>0.78897326363798614</v>
      </c>
      <c r="CA126" s="544">
        <f t="shared" si="25"/>
        <v>1.0753894981777501</v>
      </c>
      <c r="CB126" s="649">
        <f t="shared" si="26"/>
        <v>0.36750697834425616</v>
      </c>
      <c r="CC126" s="525">
        <f t="shared" si="66"/>
        <v>0.42457126921454891</v>
      </c>
      <c r="CD126" s="417">
        <f t="shared" si="27"/>
        <v>0.36750697834425616</v>
      </c>
      <c r="CE126" s="525">
        <f t="shared" si="67"/>
        <v>0.42457126921454891</v>
      </c>
      <c r="CG126" s="527">
        <f t="shared" si="68"/>
        <v>1960.828102265084</v>
      </c>
      <c r="CH126" s="528">
        <f t="shared" si="69"/>
        <v>863.44898440412021</v>
      </c>
      <c r="CI126" s="528">
        <f t="shared" si="70"/>
        <v>3288.4420331682022</v>
      </c>
      <c r="CJ126" s="528">
        <f t="shared" si="71"/>
        <v>4162.7542934433304</v>
      </c>
      <c r="CK126" s="528">
        <f t="shared" si="72"/>
        <v>50.10278459014274</v>
      </c>
      <c r="CL126" s="528">
        <f t="shared" si="73"/>
        <v>10325.57619787088</v>
      </c>
      <c r="CM126" s="646">
        <f t="shared" si="74"/>
        <v>0</v>
      </c>
    </row>
    <row r="127" spans="1:91" s="1" customFormat="1">
      <c r="A127" s="873">
        <f>'Input data'!A147</f>
        <v>2047</v>
      </c>
      <c r="B127" s="1551">
        <f>'Input data'!B147</f>
        <v>74.373096484110363</v>
      </c>
      <c r="C127" s="1550">
        <f>'Input data'!C147</f>
        <v>8114.689906663607</v>
      </c>
      <c r="D127" s="1550">
        <f>'Input data'!D147</f>
        <v>865265.96311405371</v>
      </c>
      <c r="E127" s="1455">
        <f t="shared" si="89"/>
        <v>1</v>
      </c>
      <c r="F127" s="1449">
        <f t="shared" si="89"/>
        <v>0.37</v>
      </c>
      <c r="G127" s="1554">
        <f>B127*F127*'Input data'!$C$9</f>
        <v>842.24731351072307</v>
      </c>
      <c r="H127" s="1542">
        <f>'Input data'!I147</f>
        <v>424.26313389388866</v>
      </c>
      <c r="I127" s="1509">
        <f>'Input data'!K147</f>
        <v>31553.762991741216</v>
      </c>
      <c r="J127" s="1509">
        <f t="shared" si="91"/>
        <v>2228.8062963921584</v>
      </c>
      <c r="K127" s="1511">
        <f t="shared" si="77"/>
        <v>12434.809473169109</v>
      </c>
      <c r="L127" s="1504">
        <f t="shared" si="90"/>
        <v>0.7</v>
      </c>
      <c r="M127" s="1504">
        <f t="shared" si="90"/>
        <v>0.6</v>
      </c>
      <c r="N127" s="1504">
        <f t="shared" si="90"/>
        <v>0.9</v>
      </c>
      <c r="O127" s="1504">
        <f t="shared" si="90"/>
        <v>0.9</v>
      </c>
      <c r="P127" s="1504">
        <f t="shared" si="90"/>
        <v>0.23600000000000002</v>
      </c>
      <c r="Q127" s="1508">
        <f t="shared" si="33"/>
        <v>337.8579113068713</v>
      </c>
      <c r="R127" s="1509">
        <f t="shared" si="34"/>
        <v>235.76775131343163</v>
      </c>
      <c r="S127" s="1509">
        <f t="shared" si="35"/>
        <v>690.42561407138692</v>
      </c>
      <c r="T127" s="1509">
        <f t="shared" si="36"/>
        <v>464.88938755446634</v>
      </c>
      <c r="U127" s="1511">
        <f t="shared" si="37"/>
        <v>0</v>
      </c>
      <c r="V127" s="1509">
        <f t="shared" si="38"/>
        <v>1728.9406642461563</v>
      </c>
      <c r="W127" s="1454">
        <f t="shared" si="87"/>
        <v>0.5</v>
      </c>
      <c r="X127" s="530">
        <f t="shared" si="39"/>
        <v>3033.4854703020706</v>
      </c>
      <c r="Y127" s="1508">
        <f t="shared" si="78"/>
        <v>4762.4261345482264</v>
      </c>
      <c r="Z127" s="1509">
        <f t="shared" si="79"/>
        <v>9901.189635013041</v>
      </c>
      <c r="AA127" s="1511">
        <f t="shared" si="80"/>
        <v>7672.3833386208826</v>
      </c>
      <c r="AB127" s="1091">
        <f t="shared" si="40"/>
        <v>0.7748951006341146</v>
      </c>
      <c r="AC127" s="135" t="str">
        <f t="shared" si="41"/>
        <v>Yes</v>
      </c>
      <c r="AD127" s="1091">
        <f t="shared" si="42"/>
        <v>0.7748951006341146</v>
      </c>
      <c r="AE127" s="649">
        <f t="shared" si="10"/>
        <v>0.36909169159072286</v>
      </c>
      <c r="AF127" s="530">
        <f t="shared" si="43"/>
        <v>267.67113612541198</v>
      </c>
      <c r="AG127" s="528">
        <f t="shared" si="44"/>
        <v>2228.8062963921584</v>
      </c>
      <c r="AH127" s="528">
        <f t="shared" si="81"/>
        <v>10378.286612069227</v>
      </c>
      <c r="AI127" s="528">
        <f t="shared" si="82"/>
        <v>6437.6604656145792</v>
      </c>
      <c r="AJ127" s="528">
        <f t="shared" si="11"/>
        <v>862.77785899073763</v>
      </c>
      <c r="AK127" s="528">
        <f t="shared" si="45"/>
        <v>19907.531233066704</v>
      </c>
      <c r="AL127" s="716">
        <f t="shared" si="12"/>
        <v>0</v>
      </c>
      <c r="AM127" s="417">
        <f t="shared" si="46"/>
        <v>0.11195794547794445</v>
      </c>
      <c r="AN127" s="417">
        <f t="shared" si="47"/>
        <v>0.52132464294873182</v>
      </c>
      <c r="AO127" s="417">
        <f t="shared" si="48"/>
        <v>0.32337814218377464</v>
      </c>
      <c r="AP127" s="417">
        <f t="shared" si="49"/>
        <v>4.3339269389548955E-2</v>
      </c>
      <c r="AQ127" s="417">
        <f t="shared" si="50"/>
        <v>0.99999999999999978</v>
      </c>
      <c r="AR127" s="1086">
        <f t="shared" si="13"/>
        <v>491.20185885901765</v>
      </c>
      <c r="AS127" s="938">
        <f t="shared" si="14"/>
        <v>622.97684512099681</v>
      </c>
      <c r="AT127" s="938">
        <f t="shared" si="15"/>
        <v>118.69097477773697</v>
      </c>
      <c r="AU127" s="938">
        <f t="shared" si="16"/>
        <v>0</v>
      </c>
      <c r="AV127" s="938">
        <f t="shared" si="17"/>
        <v>0</v>
      </c>
      <c r="AW127" s="938">
        <f t="shared" si="18"/>
        <v>0</v>
      </c>
      <c r="AX127" s="938">
        <f t="shared" si="19"/>
        <v>828.8981554996866</v>
      </c>
      <c r="AY127" s="938">
        <f t="shared" si="20"/>
        <v>66.767298496087406</v>
      </c>
      <c r="AZ127" s="938">
        <f t="shared" si="21"/>
        <v>18.768305148828162</v>
      </c>
      <c r="BA127" s="938">
        <f t="shared" si="22"/>
        <v>48.474876405691035</v>
      </c>
      <c r="BB127" s="938">
        <f t="shared" si="23"/>
        <v>33.027982084113098</v>
      </c>
      <c r="BC127" s="530">
        <f t="shared" si="51"/>
        <v>2228.8062963921579</v>
      </c>
      <c r="BD127" s="724">
        <f t="shared" si="52"/>
        <v>0</v>
      </c>
      <c r="BE127" s="436">
        <f t="shared" si="53"/>
        <v>0.22038786396742607</v>
      </c>
      <c r="BF127" s="624">
        <f t="shared" si="54"/>
        <v>0.27951143449721488</v>
      </c>
      <c r="BG127" s="624">
        <f t="shared" si="55"/>
        <v>5.3253158414827681E-2</v>
      </c>
      <c r="BH127" s="624">
        <f t="shared" si="56"/>
        <v>0</v>
      </c>
      <c r="BI127" s="624">
        <f t="shared" si="57"/>
        <v>0</v>
      </c>
      <c r="BJ127" s="624">
        <f t="shared" si="58"/>
        <v>0</v>
      </c>
      <c r="BK127" s="624">
        <f t="shared" si="59"/>
        <v>0.44684754312053121</v>
      </c>
      <c r="BL127" s="624">
        <f t="shared" si="60"/>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76.301941964538074</v>
      </c>
      <c r="BW127" s="114">
        <f t="shared" si="63"/>
        <v>0.79139786542637847</v>
      </c>
      <c r="BX127" s="1689">
        <f t="shared" si="24"/>
        <v>0.86526596311405368</v>
      </c>
      <c r="BY127" s="527">
        <f t="shared" si="64"/>
        <v>76.301941964538074</v>
      </c>
      <c r="BZ127" s="417">
        <f t="shared" si="65"/>
        <v>0.79139786542637847</v>
      </c>
      <c r="CA127" s="544">
        <f t="shared" si="25"/>
        <v>0.86526596311405368</v>
      </c>
      <c r="CB127" s="649">
        <f t="shared" si="26"/>
        <v>0.36909169159072286</v>
      </c>
      <c r="CC127" s="525">
        <f t="shared" si="66"/>
        <v>0.42742995593517208</v>
      </c>
      <c r="CD127" s="417">
        <f t="shared" si="27"/>
        <v>0.36909169159072286</v>
      </c>
      <c r="CE127" s="525">
        <f t="shared" si="67"/>
        <v>0.42742995593517208</v>
      </c>
      <c r="CG127" s="527">
        <f t="shared" si="68"/>
        <v>1970.8378159567483</v>
      </c>
      <c r="CH127" s="528">
        <f t="shared" si="69"/>
        <v>867.85675330097536</v>
      </c>
      <c r="CI127" s="528">
        <f t="shared" si="70"/>
        <v>3305.2290035332353</v>
      </c>
      <c r="CJ127" s="528">
        <f t="shared" si="71"/>
        <v>4184.0044879902052</v>
      </c>
      <c r="CK127" s="528">
        <f t="shared" si="72"/>
        <v>50.358551288061392</v>
      </c>
      <c r="CL127" s="528">
        <f t="shared" si="73"/>
        <v>10378.286612069225</v>
      </c>
      <c r="CM127" s="646">
        <f t="shared" si="74"/>
        <v>0</v>
      </c>
    </row>
    <row r="128" spans="1:91">
      <c r="A128" s="873">
        <f>'Input data'!A148</f>
        <v>2048</v>
      </c>
      <c r="B128" s="1551">
        <f>'Input data'!B148</f>
        <v>74.752759240528661</v>
      </c>
      <c r="C128" s="1550">
        <f>'Input data'!C148</f>
        <v>8296.4877206561141</v>
      </c>
      <c r="D128" s="1550">
        <f>'Input data'!D148</f>
        <v>655142.42805035703</v>
      </c>
      <c r="E128" s="1455">
        <f t="shared" ref="E128:F130" si="93">E127</f>
        <v>1</v>
      </c>
      <c r="F128" s="1449">
        <f t="shared" si="93"/>
        <v>0.37</v>
      </c>
      <c r="G128" s="1554">
        <f>B128*F128*'Input data'!$C$9</f>
        <v>846.5468512703444</v>
      </c>
      <c r="H128" s="1542">
        <f>'Input data'!I148</f>
        <v>424.26313389388866</v>
      </c>
      <c r="I128" s="1509">
        <f>'Input data'!K148</f>
        <v>31714.839902602034</v>
      </c>
      <c r="J128" s="1509">
        <f t="shared" si="91"/>
        <v>2228.8062963921584</v>
      </c>
      <c r="K128" s="1511">
        <f t="shared" si="77"/>
        <v>12509.664885210746</v>
      </c>
      <c r="L128" s="1504">
        <f t="shared" ref="L128:P130" si="94">L127</f>
        <v>0.7</v>
      </c>
      <c r="M128" s="1504">
        <f t="shared" si="94"/>
        <v>0.6</v>
      </c>
      <c r="N128" s="1504">
        <f t="shared" si="94"/>
        <v>0.9</v>
      </c>
      <c r="O128" s="1504">
        <f t="shared" si="94"/>
        <v>0.9</v>
      </c>
      <c r="P128" s="1504">
        <f t="shared" si="94"/>
        <v>0.23600000000000002</v>
      </c>
      <c r="Q128" s="1508">
        <f t="shared" si="33"/>
        <v>339.58262188029607</v>
      </c>
      <c r="R128" s="1509">
        <f t="shared" si="34"/>
        <v>236.971307956489</v>
      </c>
      <c r="S128" s="1509">
        <f t="shared" si="35"/>
        <v>693.95012634977684</v>
      </c>
      <c r="T128" s="1509">
        <f t="shared" si="36"/>
        <v>467.26257348664376</v>
      </c>
      <c r="U128" s="1511">
        <f t="shared" si="37"/>
        <v>0</v>
      </c>
      <c r="V128" s="1509">
        <f t="shared" si="38"/>
        <v>1737.7666296732057</v>
      </c>
      <c r="W128" s="1454">
        <f t="shared" si="87"/>
        <v>0.5</v>
      </c>
      <c r="X128" s="530">
        <f t="shared" si="39"/>
        <v>3033.4854703020706</v>
      </c>
      <c r="Y128" s="1508">
        <f t="shared" si="78"/>
        <v>4771.252099975276</v>
      </c>
      <c r="Z128" s="1509">
        <f t="shared" si="79"/>
        <v>9967.2190816276288</v>
      </c>
      <c r="AA128" s="1511">
        <f t="shared" si="80"/>
        <v>7738.4127852354704</v>
      </c>
      <c r="AB128" s="1091">
        <f t="shared" si="40"/>
        <v>0.77638634426121211</v>
      </c>
      <c r="AC128" s="135" t="str">
        <f t="shared" si="41"/>
        <v>Yes</v>
      </c>
      <c r="AD128" s="1091">
        <f t="shared" si="42"/>
        <v>0.77638634426121211</v>
      </c>
      <c r="AE128" s="649">
        <f t="shared" si="10"/>
        <v>0.3706677901680655</v>
      </c>
      <c r="AF128" s="530">
        <f t="shared" si="43"/>
        <v>267.00245560366284</v>
      </c>
      <c r="AG128" s="528">
        <f t="shared" si="44"/>
        <v>2228.8062963921584</v>
      </c>
      <c r="AH128" s="528">
        <f t="shared" si="81"/>
        <v>10431.266104497367</v>
      </c>
      <c r="AI128" s="528">
        <f t="shared" si="82"/>
        <v>6437.6604656145792</v>
      </c>
      <c r="AJ128" s="528">
        <f t="shared" si="11"/>
        <v>861.43741386644547</v>
      </c>
      <c r="AK128" s="528">
        <f t="shared" si="45"/>
        <v>19959.170280370552</v>
      </c>
      <c r="AL128" s="716">
        <f t="shared" si="12"/>
        <v>0</v>
      </c>
      <c r="AM128" s="417">
        <f t="shared" si="46"/>
        <v>0.11166828405608349</v>
      </c>
      <c r="AN128" s="417">
        <f t="shared" si="47"/>
        <v>0.52263024754873255</v>
      </c>
      <c r="AO128" s="417">
        <f t="shared" si="48"/>
        <v>0.32254148720530185</v>
      </c>
      <c r="AP128" s="417">
        <f t="shared" si="49"/>
        <v>4.3159981189882027E-2</v>
      </c>
      <c r="AQ128" s="417">
        <f t="shared" si="50"/>
        <v>1</v>
      </c>
      <c r="AR128" s="1086">
        <f t="shared" si="13"/>
        <v>491.96531657019244</v>
      </c>
      <c r="AS128" s="938">
        <f t="shared" si="14"/>
        <v>623.94511604203069</v>
      </c>
      <c r="AT128" s="938">
        <f t="shared" si="15"/>
        <v>118.5065718786821</v>
      </c>
      <c r="AU128" s="938">
        <f t="shared" si="16"/>
        <v>0</v>
      </c>
      <c r="AV128" s="938">
        <f t="shared" si="17"/>
        <v>0</v>
      </c>
      <c r="AW128" s="938">
        <f t="shared" si="18"/>
        <v>0</v>
      </c>
      <c r="AX128" s="938">
        <f t="shared" si="19"/>
        <v>827.61034719596614</v>
      </c>
      <c r="AY128" s="938">
        <f t="shared" si="20"/>
        <v>66.663566233143229</v>
      </c>
      <c r="AZ128" s="938">
        <f t="shared" si="21"/>
        <v>18.739145982461341</v>
      </c>
      <c r="BA128" s="938">
        <f t="shared" si="22"/>
        <v>48.399563958748168</v>
      </c>
      <c r="BB128" s="938">
        <f t="shared" si="23"/>
        <v>32.976668530933082</v>
      </c>
      <c r="BC128" s="530">
        <f t="shared" si="51"/>
        <v>2228.806296392157</v>
      </c>
      <c r="BD128" s="724">
        <f t="shared" si="52"/>
        <v>0</v>
      </c>
      <c r="BE128" s="436">
        <f t="shared" si="53"/>
        <v>0.22073040504531644</v>
      </c>
      <c r="BF128" s="624">
        <f t="shared" si="54"/>
        <v>0.27994586925388332</v>
      </c>
      <c r="BG128" s="624">
        <f t="shared" si="55"/>
        <v>5.3170422243742146E-2</v>
      </c>
      <c r="BH128" s="624">
        <f t="shared" si="56"/>
        <v>0</v>
      </c>
      <c r="BI128" s="624">
        <f t="shared" si="57"/>
        <v>0</v>
      </c>
      <c r="BJ128" s="624">
        <f t="shared" si="58"/>
        <v>0</v>
      </c>
      <c r="BK128" s="624">
        <f t="shared" si="59"/>
        <v>0.44615330345705817</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77.201708249624033</v>
      </c>
      <c r="BW128" s="114">
        <f t="shared" si="63"/>
        <v>0.79382907027847094</v>
      </c>
      <c r="BX128" s="1689">
        <f t="shared" si="24"/>
        <v>0.65514242805035705</v>
      </c>
      <c r="BY128" s="527">
        <f t="shared" si="64"/>
        <v>77.201708249624033</v>
      </c>
      <c r="BZ128" s="417">
        <f t="shared" si="65"/>
        <v>0.79382907027847094</v>
      </c>
      <c r="CA128" s="544">
        <f t="shared" si="25"/>
        <v>0.65514242805035705</v>
      </c>
      <c r="CB128" s="649">
        <f t="shared" si="26"/>
        <v>0.3706677901680655</v>
      </c>
      <c r="CC128" s="525">
        <f t="shared" si="66"/>
        <v>0.43025563637690944</v>
      </c>
      <c r="CD128" s="417">
        <f t="shared" si="27"/>
        <v>0.3706677901680655</v>
      </c>
      <c r="CE128" s="525">
        <f t="shared" si="67"/>
        <v>0.43025563637690944</v>
      </c>
      <c r="CG128" s="527">
        <f t="shared" si="68"/>
        <v>1980.8986276350599</v>
      </c>
      <c r="CH128" s="528">
        <f t="shared" si="69"/>
        <v>872.28702315272039</v>
      </c>
      <c r="CI128" s="528">
        <f t="shared" si="70"/>
        <v>3322.101668695741</v>
      </c>
      <c r="CJ128" s="528">
        <f t="shared" si="71"/>
        <v>4205.3631613797997</v>
      </c>
      <c r="CK128" s="528">
        <f t="shared" si="72"/>
        <v>50.615623634045299</v>
      </c>
      <c r="CL128" s="528">
        <f t="shared" si="73"/>
        <v>10431.266104497367</v>
      </c>
      <c r="CM128" s="646">
        <f t="shared" si="74"/>
        <v>0</v>
      </c>
    </row>
    <row r="129" spans="1:91">
      <c r="A129" s="127">
        <f>'Input data'!A149</f>
        <v>2049</v>
      </c>
      <c r="B129" s="662">
        <f>'Input data'!B149</f>
        <v>75.134360114565098</v>
      </c>
      <c r="C129" s="236">
        <f>'Input data'!C149</f>
        <v>8472.9909282566368</v>
      </c>
      <c r="D129" s="1550">
        <f>'Input data'!D149</f>
        <v>445018.89298666047</v>
      </c>
      <c r="E129" s="1455">
        <f t="shared" si="93"/>
        <v>1</v>
      </c>
      <c r="F129" s="1449">
        <f t="shared" si="93"/>
        <v>0.37</v>
      </c>
      <c r="G129" s="1554">
        <f>B129*F129*'Input data'!$C$9</f>
        <v>850.86833748221932</v>
      </c>
      <c r="H129" s="1542">
        <f>'Input data'!I149</f>
        <v>424.26313389388866</v>
      </c>
      <c r="I129" s="1509">
        <f>'Input data'!K149</f>
        <v>31876.739085317382</v>
      </c>
      <c r="J129" s="1509">
        <f t="shared" si="91"/>
        <v>2228.8062963921584</v>
      </c>
      <c r="K129" s="1511">
        <f t="shared" si="77"/>
        <v>12584.902422152543</v>
      </c>
      <c r="L129" s="1504">
        <f t="shared" si="94"/>
        <v>0.7</v>
      </c>
      <c r="M129" s="1504">
        <f t="shared" si="94"/>
        <v>0.6</v>
      </c>
      <c r="N129" s="1504">
        <f t="shared" si="94"/>
        <v>0.9</v>
      </c>
      <c r="O129" s="1504">
        <f t="shared" si="94"/>
        <v>0.9</v>
      </c>
      <c r="P129" s="1504">
        <f t="shared" si="94"/>
        <v>0.23600000000000002</v>
      </c>
      <c r="Q129" s="1508">
        <f t="shared" si="33"/>
        <v>341.31613682521129</v>
      </c>
      <c r="R129" s="1509">
        <f t="shared" si="34"/>
        <v>238.18100856361684</v>
      </c>
      <c r="S129" s="1509">
        <f t="shared" si="35"/>
        <v>697.49263069935796</v>
      </c>
      <c r="T129" s="1509">
        <f t="shared" si="36"/>
        <v>469.64787415324872</v>
      </c>
      <c r="U129" s="1511">
        <f t="shared" si="37"/>
        <v>0</v>
      </c>
      <c r="V129" s="1509">
        <f t="shared" si="38"/>
        <v>1746.6376502414348</v>
      </c>
      <c r="W129" s="1454">
        <f t="shared" si="87"/>
        <v>0.5</v>
      </c>
      <c r="X129" s="530">
        <f t="shared" si="39"/>
        <v>3033.4854703020706</v>
      </c>
      <c r="Y129" s="1508">
        <f t="shared" si="78"/>
        <v>4780.1231205435051</v>
      </c>
      <c r="Z129" s="1509">
        <f t="shared" si="79"/>
        <v>10033.585598001197</v>
      </c>
      <c r="AA129" s="1511">
        <f t="shared" si="80"/>
        <v>7804.7793016090382</v>
      </c>
      <c r="AB129" s="1091">
        <f t="shared" si="40"/>
        <v>0.77786542262258052</v>
      </c>
      <c r="AC129" s="135" t="str">
        <f t="shared" si="41"/>
        <v>Yes</v>
      </c>
      <c r="AD129" s="1091">
        <f t="shared" si="42"/>
        <v>0.77786542262258052</v>
      </c>
      <c r="AE129" s="649">
        <f t="shared" si="10"/>
        <v>0.37223532617222466</v>
      </c>
      <c r="AF129" s="530">
        <f t="shared" si="43"/>
        <v>266.33740786604682</v>
      </c>
      <c r="AG129" s="528">
        <f t="shared" si="44"/>
        <v>2228.8062963921584</v>
      </c>
      <c r="AH129" s="528">
        <f t="shared" si="81"/>
        <v>10484.516048756612</v>
      </c>
      <c r="AI129" s="528">
        <f t="shared" si="82"/>
        <v>6437.6604656145792</v>
      </c>
      <c r="AJ129" s="528">
        <f t="shared" si="11"/>
        <v>860.10790382401149</v>
      </c>
      <c r="AK129" s="528">
        <f t="shared" si="45"/>
        <v>20011.090714587364</v>
      </c>
      <c r="AL129" s="716">
        <f t="shared" si="12"/>
        <v>0</v>
      </c>
      <c r="AM129" s="417">
        <f t="shared" si="46"/>
        <v>0.11137855143335285</v>
      </c>
      <c r="AN129" s="417">
        <f t="shared" si="47"/>
        <v>0.52393526161538895</v>
      </c>
      <c r="AO129" s="417">
        <f t="shared" si="48"/>
        <v>0.3217046265709923</v>
      </c>
      <c r="AP129" s="417">
        <f t="shared" si="49"/>
        <v>4.2981560380265717E-2</v>
      </c>
      <c r="AQ129" s="417">
        <f t="shared" si="50"/>
        <v>0.99999999999999978</v>
      </c>
      <c r="AR129" s="1086">
        <f t="shared" si="13"/>
        <v>492.72254614683573</v>
      </c>
      <c r="AS129" s="938">
        <f t="shared" si="14"/>
        <v>624.90548800354009</v>
      </c>
      <c r="AT129" s="938">
        <f t="shared" si="15"/>
        <v>118.32367330140767</v>
      </c>
      <c r="AU129" s="938">
        <f t="shared" si="16"/>
        <v>0</v>
      </c>
      <c r="AV129" s="938">
        <f t="shared" si="17"/>
        <v>0</v>
      </c>
      <c r="AW129" s="938">
        <f t="shared" si="18"/>
        <v>0</v>
      </c>
      <c r="AX129" s="938">
        <f t="shared" si="19"/>
        <v>826.33304457350323</v>
      </c>
      <c r="AY129" s="938">
        <f t="shared" si="20"/>
        <v>66.560680197147207</v>
      </c>
      <c r="AZ129" s="938">
        <f t="shared" si="21"/>
        <v>18.710224690711922</v>
      </c>
      <c r="BA129" s="938">
        <f t="shared" si="22"/>
        <v>48.324865895607729</v>
      </c>
      <c r="BB129" s="938">
        <f t="shared" si="23"/>
        <v>32.925773583404499</v>
      </c>
      <c r="BC129" s="530">
        <f t="shared" si="51"/>
        <v>2228.8062963921579</v>
      </c>
      <c r="BD129" s="724">
        <f t="shared" si="52"/>
        <v>0</v>
      </c>
      <c r="BE129" s="436">
        <f t="shared" si="53"/>
        <v>0.22107015174195349</v>
      </c>
      <c r="BF129" s="624">
        <f t="shared" si="54"/>
        <v>0.28037675997914002</v>
      </c>
      <c r="BG129" s="624">
        <f t="shared" si="55"/>
        <v>5.3088361017708037E-2</v>
      </c>
      <c r="BH129" s="624">
        <f t="shared" si="56"/>
        <v>0</v>
      </c>
      <c r="BI129" s="624">
        <f t="shared" si="57"/>
        <v>0</v>
      </c>
      <c r="BJ129" s="624">
        <f t="shared" si="58"/>
        <v>0</v>
      </c>
      <c r="BK129" s="624">
        <f t="shared" si="59"/>
        <v>0.44546472726119851</v>
      </c>
      <c r="BL129" s="624">
        <f t="shared" si="60"/>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78.074607583858437</v>
      </c>
      <c r="BW129" s="114">
        <f t="shared" si="63"/>
        <v>0.79613412787481053</v>
      </c>
      <c r="BX129" s="1689">
        <f t="shared" si="24"/>
        <v>0.44501889298666047</v>
      </c>
      <c r="BY129" s="527">
        <f t="shared" si="64"/>
        <v>78.074607583858437</v>
      </c>
      <c r="BZ129" s="417">
        <f t="shared" si="65"/>
        <v>0.79613412787481053</v>
      </c>
      <c r="CA129" s="544">
        <f t="shared" si="25"/>
        <v>0.44501889298666047</v>
      </c>
      <c r="CB129" s="649">
        <f t="shared" si="26"/>
        <v>0.37223532617222466</v>
      </c>
      <c r="CC129" s="525">
        <f t="shared" si="66"/>
        <v>0.43288463114800246</v>
      </c>
      <c r="CD129" s="417">
        <f t="shared" si="27"/>
        <v>0.37223532617222466</v>
      </c>
      <c r="CE129" s="525">
        <f t="shared" si="67"/>
        <v>0.43288463114800246</v>
      </c>
      <c r="CG129" s="527">
        <f t="shared" si="68"/>
        <v>1991.0107981470655</v>
      </c>
      <c r="CH129" s="528">
        <f t="shared" si="69"/>
        <v>876.73990882312989</v>
      </c>
      <c r="CI129" s="528">
        <f t="shared" si="70"/>
        <v>3339.0604661139491</v>
      </c>
      <c r="CJ129" s="528">
        <f t="shared" si="71"/>
        <v>4226.830867379248</v>
      </c>
      <c r="CK129" s="528">
        <f t="shared" si="72"/>
        <v>50.874008293218921</v>
      </c>
      <c r="CL129" s="528">
        <f t="shared" si="73"/>
        <v>10484.516048756612</v>
      </c>
      <c r="CM129" s="646">
        <f t="shared" si="74"/>
        <v>0</v>
      </c>
    </row>
    <row r="130" spans="1:91" ht="15.75" thickBot="1">
      <c r="A130" s="172">
        <f>'Input data'!A150</f>
        <v>2050</v>
      </c>
      <c r="B130" s="664">
        <f>'Input data'!B150</f>
        <v>75.517908999999989</v>
      </c>
      <c r="C130" s="239">
        <f>'Input data'!C150</f>
        <v>8654.8011856383091</v>
      </c>
      <c r="D130" s="239">
        <f>'Input data'!D150</f>
        <v>234895.35792296397</v>
      </c>
      <c r="E130" s="1006">
        <f t="shared" si="93"/>
        <v>1</v>
      </c>
      <c r="F130" s="797">
        <f t="shared" si="93"/>
        <v>0.37</v>
      </c>
      <c r="G130" s="1007">
        <f>B130*F130*'Input data'!$C$9</f>
        <v>855.21188418968472</v>
      </c>
      <c r="H130" s="654">
        <f>'Input data'!I150</f>
        <v>424.26313389388866</v>
      </c>
      <c r="I130" s="667">
        <f>'Input data'!K150</f>
        <v>32039.464737453494</v>
      </c>
      <c r="J130" s="667">
        <f t="shared" si="91"/>
        <v>2228.8062963921584</v>
      </c>
      <c r="K130" s="659">
        <f t="shared" si="77"/>
        <v>12660.52403468097</v>
      </c>
      <c r="L130" s="651">
        <f t="shared" si="94"/>
        <v>0.7</v>
      </c>
      <c r="M130" s="651">
        <f t="shared" si="94"/>
        <v>0.6</v>
      </c>
      <c r="N130" s="651">
        <f t="shared" si="94"/>
        <v>0.9</v>
      </c>
      <c r="O130" s="651">
        <f t="shared" si="94"/>
        <v>0.9</v>
      </c>
      <c r="P130" s="651">
        <f t="shared" si="94"/>
        <v>0.23600000000000002</v>
      </c>
      <c r="Q130" s="670">
        <f t="shared" si="33"/>
        <v>343.0585010865243</v>
      </c>
      <c r="R130" s="667">
        <f t="shared" si="34"/>
        <v>239.39688449876871</v>
      </c>
      <c r="S130" s="667">
        <f t="shared" si="35"/>
        <v>701.05321896677469</v>
      </c>
      <c r="T130" s="667">
        <f t="shared" si="36"/>
        <v>472.04535139806285</v>
      </c>
      <c r="U130" s="659">
        <f t="shared" si="37"/>
        <v>0</v>
      </c>
      <c r="V130" s="667">
        <f t="shared" si="38"/>
        <v>1755.5539559501306</v>
      </c>
      <c r="W130" s="650">
        <f t="shared" si="87"/>
        <v>0.5</v>
      </c>
      <c r="X130" s="659">
        <f t="shared" si="39"/>
        <v>3033.4854703020706</v>
      </c>
      <c r="Y130" s="670">
        <f t="shared" si="78"/>
        <v>4789.0394262522013</v>
      </c>
      <c r="Z130" s="667">
        <f t="shared" si="79"/>
        <v>10100.290904820926</v>
      </c>
      <c r="AA130" s="659">
        <f t="shared" si="80"/>
        <v>7871.4846084287674</v>
      </c>
      <c r="AB130" s="1094">
        <f t="shared" si="40"/>
        <v>0.77933246503540443</v>
      </c>
      <c r="AC130" s="1105" t="str">
        <f t="shared" si="41"/>
        <v>Yes</v>
      </c>
      <c r="AD130" s="1094">
        <f t="shared" si="42"/>
        <v>0.77933246503540443</v>
      </c>
      <c r="AE130" s="650">
        <f t="shared" si="10"/>
        <v>0.37379435129462157</v>
      </c>
      <c r="AF130" s="659">
        <f t="shared" si="43"/>
        <v>265.67597098179937</v>
      </c>
      <c r="AG130" s="667">
        <f t="shared" si="44"/>
        <v>2228.8062963921584</v>
      </c>
      <c r="AH130" s="667">
        <f t="shared" si="81"/>
        <v>10538.037825460278</v>
      </c>
      <c r="AI130" s="667">
        <f t="shared" si="82"/>
        <v>6437.6604656145792</v>
      </c>
      <c r="AJ130" s="667">
        <f t="shared" si="11"/>
        <v>858.78921262314645</v>
      </c>
      <c r="AK130" s="667">
        <f t="shared" si="45"/>
        <v>20063.293800090163</v>
      </c>
      <c r="AL130" s="717">
        <f t="shared" si="12"/>
        <v>0</v>
      </c>
      <c r="AM130" s="651">
        <f t="shared" si="46"/>
        <v>0.11108875335226075</v>
      </c>
      <c r="AN130" s="651">
        <f t="shared" si="47"/>
        <v>0.52523967053769216</v>
      </c>
      <c r="AO130" s="651">
        <f t="shared" si="48"/>
        <v>0.32086757686744583</v>
      </c>
      <c r="AP130" s="651">
        <f t="shared" si="49"/>
        <v>4.2803999242601289E-2</v>
      </c>
      <c r="AQ130" s="651">
        <f t="shared" si="50"/>
        <v>1</v>
      </c>
      <c r="AR130" s="1474">
        <f t="shared" si="13"/>
        <v>493.47361379422671</v>
      </c>
      <c r="AS130" s="1475">
        <f t="shared" si="14"/>
        <v>625.85804497173024</v>
      </c>
      <c r="AT130" s="1475">
        <f t="shared" si="15"/>
        <v>118.14226305492249</v>
      </c>
      <c r="AU130" s="1475">
        <f t="shared" si="16"/>
        <v>0</v>
      </c>
      <c r="AV130" s="1475">
        <f t="shared" si="17"/>
        <v>0</v>
      </c>
      <c r="AW130" s="1475">
        <f t="shared" si="18"/>
        <v>0</v>
      </c>
      <c r="AX130" s="1475">
        <f t="shared" si="19"/>
        <v>825.06613595655131</v>
      </c>
      <c r="AY130" s="1475">
        <f t="shared" si="20"/>
        <v>66.458631392678186</v>
      </c>
      <c r="AZ130" s="1475">
        <f t="shared" si="21"/>
        <v>18.681538744964712</v>
      </c>
      <c r="BA130" s="1475">
        <f t="shared" si="22"/>
        <v>48.250775685348998</v>
      </c>
      <c r="BB130" s="1475">
        <f t="shared" si="23"/>
        <v>32.875292791735141</v>
      </c>
      <c r="BC130" s="659">
        <f t="shared" si="51"/>
        <v>2228.8062963921579</v>
      </c>
      <c r="BD130" s="725">
        <f t="shared" si="52"/>
        <v>0</v>
      </c>
      <c r="BE130" s="683">
        <f t="shared" si="53"/>
        <v>0.22140713376170404</v>
      </c>
      <c r="BF130" s="683">
        <f>AS130/BC130</f>
        <v>0.28080414434615841</v>
      </c>
      <c r="BG130" s="683">
        <f t="shared" si="55"/>
        <v>5.3006967562036801E-2</v>
      </c>
      <c r="BH130" s="683">
        <f t="shared" si="56"/>
        <v>0</v>
      </c>
      <c r="BI130" s="683">
        <f t="shared" si="57"/>
        <v>0</v>
      </c>
      <c r="BJ130" s="683">
        <f t="shared" si="58"/>
        <v>0</v>
      </c>
      <c r="BK130" s="683">
        <f t="shared" si="59"/>
        <v>0.44478175433010064</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78.975001711193556</v>
      </c>
      <c r="BW130" s="651">
        <f t="shared" si="63"/>
        <v>0.79845840302578586</v>
      </c>
      <c r="BX130" s="1690">
        <f t="shared" si="24"/>
        <v>0.23489535792296398</v>
      </c>
      <c r="BY130" s="670">
        <f t="shared" si="64"/>
        <v>78.975001711193556</v>
      </c>
      <c r="BZ130" s="651">
        <f t="shared" si="65"/>
        <v>0.79845840302578586</v>
      </c>
      <c r="CA130" s="675">
        <f t="shared" si="25"/>
        <v>0.23489535792296398</v>
      </c>
      <c r="CB130" s="650">
        <f t="shared" si="26"/>
        <v>0.37379435129462157</v>
      </c>
      <c r="CC130" s="652">
        <f t="shared" si="66"/>
        <v>0.43550183362464157</v>
      </c>
      <c r="CD130" s="651">
        <f t="shared" si="27"/>
        <v>0.37379435129462157</v>
      </c>
      <c r="CE130" s="652">
        <f t="shared" si="67"/>
        <v>0.43550183362464157</v>
      </c>
      <c r="CG130" s="670">
        <f t="shared" si="68"/>
        <v>2001.1745896713924</v>
      </c>
      <c r="CH130" s="667">
        <f t="shared" si="69"/>
        <v>881.21552576233921</v>
      </c>
      <c r="CI130" s="667">
        <f t="shared" si="70"/>
        <v>3356.1058354792422</v>
      </c>
      <c r="CJ130" s="667">
        <f t="shared" si="71"/>
        <v>4248.4081625825747</v>
      </c>
      <c r="CK130" s="667">
        <f t="shared" si="72"/>
        <v>51.13371196473107</v>
      </c>
      <c r="CL130" s="667">
        <f t="shared" si="73"/>
        <v>10538.037825460278</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23" t="s">
        <v>602</v>
      </c>
      <c r="B134" s="1824"/>
      <c r="C134" s="1824"/>
      <c r="D134" s="1825"/>
      <c r="E134" s="1826" t="s">
        <v>603</v>
      </c>
      <c r="F134" s="1827"/>
      <c r="G134" s="1827"/>
      <c r="H134" s="1827"/>
      <c r="I134" s="1828"/>
      <c r="J134" s="1829" t="s">
        <v>604</v>
      </c>
      <c r="K134" s="1830"/>
      <c r="L134" s="1831"/>
      <c r="M134" s="1832" t="s">
        <v>764</v>
      </c>
      <c r="N134" s="1834" t="s">
        <v>607</v>
      </c>
      <c r="O134" s="1835"/>
      <c r="P134" s="1813" t="s">
        <v>594</v>
      </c>
      <c r="Q134" s="1815" t="s">
        <v>772</v>
      </c>
      <c r="R134" s="1815" t="s">
        <v>775</v>
      </c>
      <c r="S134" s="1815" t="s">
        <v>774</v>
      </c>
      <c r="T134" s="1847" t="s">
        <v>776</v>
      </c>
      <c r="U134" s="1880" t="s">
        <v>777</v>
      </c>
      <c r="V134" s="1817" t="s">
        <v>767</v>
      </c>
      <c r="W134" s="1819" t="s">
        <v>768</v>
      </c>
      <c r="X134" s="1882" t="s">
        <v>592</v>
      </c>
      <c r="Y134" s="1883"/>
      <c r="Z134" s="1883"/>
      <c r="AA134" s="1883"/>
      <c r="AB134" s="1883"/>
      <c r="AC134" s="1883"/>
      <c r="AD134" s="1883"/>
      <c r="AE134" s="1884"/>
      <c r="AF134" s="1884"/>
      <c r="AG134" s="1884"/>
      <c r="AH134" s="1884"/>
      <c r="AI134" s="1884"/>
      <c r="AJ134" s="1885"/>
      <c r="AK134" s="1925" t="s">
        <v>735</v>
      </c>
      <c r="AL134" s="1926"/>
      <c r="AM134" s="1926"/>
      <c r="AN134" s="1926"/>
      <c r="AO134" s="1927"/>
    </row>
    <row r="135" spans="1:91" ht="43.15" customHeight="1">
      <c r="A135" s="1821" t="s">
        <v>217</v>
      </c>
      <c r="B135" s="703" t="s">
        <v>218</v>
      </c>
      <c r="C135" s="703" t="s">
        <v>390</v>
      </c>
      <c r="D135" s="513" t="s">
        <v>629</v>
      </c>
      <c r="E135" s="704" t="s">
        <v>786</v>
      </c>
      <c r="F135" s="704" t="s">
        <v>787</v>
      </c>
      <c r="G135" s="704" t="s">
        <v>771</v>
      </c>
      <c r="H135" s="705" t="s">
        <v>597</v>
      </c>
      <c r="I135" s="705" t="s">
        <v>626</v>
      </c>
      <c r="J135" s="1461" t="s">
        <v>326</v>
      </c>
      <c r="K135" s="1461" t="s">
        <v>765</v>
      </c>
      <c r="L135" s="706" t="s">
        <v>766</v>
      </c>
      <c r="M135" s="1833"/>
      <c r="N135" s="508" t="s">
        <v>605</v>
      </c>
      <c r="O135" s="559" t="s">
        <v>606</v>
      </c>
      <c r="P135" s="1814"/>
      <c r="Q135" s="1816"/>
      <c r="R135" s="1816"/>
      <c r="S135" s="1816"/>
      <c r="T135" s="1848"/>
      <c r="U135" s="1881"/>
      <c r="V135" s="1818"/>
      <c r="W135" s="1820"/>
      <c r="X135" s="1464" t="s">
        <v>473</v>
      </c>
      <c r="Y135" s="1465" t="s">
        <v>489</v>
      </c>
      <c r="Z135" s="1636" t="s">
        <v>814</v>
      </c>
      <c r="AA135" s="1465" t="s">
        <v>377</v>
      </c>
      <c r="AB135" s="1465" t="s">
        <v>477</v>
      </c>
      <c r="AC135" s="1465" t="s">
        <v>225</v>
      </c>
      <c r="AD135" s="713" t="s">
        <v>617</v>
      </c>
      <c r="AE135" s="1092" t="s">
        <v>473</v>
      </c>
      <c r="AF135" s="1465" t="s">
        <v>489</v>
      </c>
      <c r="AG135" s="1636" t="s">
        <v>814</v>
      </c>
      <c r="AH135" s="1465" t="s">
        <v>377</v>
      </c>
      <c r="AI135" s="1465" t="s">
        <v>477</v>
      </c>
      <c r="AJ135" s="1466" t="s">
        <v>225</v>
      </c>
      <c r="AK135" s="189" t="s">
        <v>731</v>
      </c>
      <c r="AL135" s="712" t="s">
        <v>493</v>
      </c>
      <c r="AM135" s="712" t="s">
        <v>732</v>
      </c>
      <c r="AN135" s="712" t="s">
        <v>225</v>
      </c>
      <c r="AO135" s="1183" t="s">
        <v>617</v>
      </c>
    </row>
    <row r="136" spans="1:91" ht="45" customHeight="1" thickBot="1">
      <c r="A136" s="1856"/>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688" t="s">
        <v>229</v>
      </c>
      <c r="O136" s="690" t="s">
        <v>228</v>
      </c>
      <c r="P136" s="1115" t="s">
        <v>228</v>
      </c>
      <c r="Q136" s="1116" t="s">
        <v>228</v>
      </c>
      <c r="R136" s="1116" t="s">
        <v>228</v>
      </c>
      <c r="S136" s="1117" t="s">
        <v>28</v>
      </c>
      <c r="T136" s="1848"/>
      <c r="U136" s="1117" t="s">
        <v>28</v>
      </c>
      <c r="V136" s="1116" t="s">
        <v>228</v>
      </c>
      <c r="W136" s="1496"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3117.5115237718705</v>
      </c>
      <c r="D137" s="1503">
        <f>'Input data'!D117</f>
        <v>49995051</v>
      </c>
      <c r="E137" s="956">
        <f>'Input data'!J117*C137</f>
        <v>37506.923384615395</v>
      </c>
      <c r="F137" s="957">
        <f>'Input data'!L117</f>
        <v>87501.974384615402</v>
      </c>
      <c r="G137" s="957">
        <f>F137*B11</f>
        <v>68439.708347615408</v>
      </c>
      <c r="H137" s="677">
        <f t="shared" ref="H137:H170" si="95">E137*$B$12+I137*$E$80-G137</f>
        <v>0</v>
      </c>
      <c r="I137" s="1467">
        <f>D137/1000</f>
        <v>49995.050999999999</v>
      </c>
      <c r="J137" s="649">
        <f>H17</f>
        <v>6.154773859516615E-2</v>
      </c>
      <c r="K137" s="957">
        <f>(I137)*J137-(I137)*$J$137</f>
        <v>0</v>
      </c>
      <c r="L137" s="957">
        <f>(E137)*$C$12*$G$12-(E137)*$C$12*$G$12</f>
        <v>0</v>
      </c>
      <c r="M137" s="1467">
        <f>L137+K137</f>
        <v>0</v>
      </c>
      <c r="N137" s="708">
        <v>0</v>
      </c>
      <c r="O137" s="1467">
        <f>N137*$E$137*($C$85)*$B$12</f>
        <v>0</v>
      </c>
      <c r="P137" s="1694">
        <f>O137+M137</f>
        <v>0</v>
      </c>
      <c r="Q137" s="1484">
        <f>E137*$B$12+(1-$J$137)*I137-P137</f>
        <v>68439.708347615408</v>
      </c>
      <c r="R137" s="1484">
        <f>Q137-G137</f>
        <v>0</v>
      </c>
      <c r="S137" s="1505">
        <f>R137/(Q137-I137*(1-J137))</f>
        <v>0</v>
      </c>
      <c r="T137" s="1489" t="str">
        <f>IF(AND(S137&gt;=0,S137&lt;=1),"Yes","No")</f>
        <v>Yes</v>
      </c>
      <c r="U137" s="1505">
        <f>IF(S137&lt;=0,0,IF(S137&gt;=1,1,S137))</f>
        <v>0</v>
      </c>
      <c r="V137" s="1533">
        <f t="shared" ref="V137:V170" si="96">AC137</f>
        <v>87501.974384615402</v>
      </c>
      <c r="W137" s="1534">
        <f t="shared" ref="W137:W170" si="97">(1-V137/F137)</f>
        <v>0</v>
      </c>
      <c r="X137" s="956">
        <f>(E137*$B$12-O137-L137)*(1-U137)+I137*(1-J137)</f>
        <v>68439.708347615408</v>
      </c>
      <c r="Y137" s="1501">
        <f>I137*J137+E137*$G$12*$C$12</f>
        <v>6080.5670370000007</v>
      </c>
      <c r="Z137" s="1501">
        <f>($C$12*$H$12*E137+O137)</f>
        <v>1694.9190000000001</v>
      </c>
      <c r="AA137" s="1501">
        <f>$F$137*$D$11</f>
        <v>0</v>
      </c>
      <c r="AB137" s="1501">
        <f>E137*$E$12</f>
        <v>11286.78</v>
      </c>
      <c r="AC137" s="1501">
        <f>SUM(X137:AB137)</f>
        <v>87501.974384615402</v>
      </c>
      <c r="AD137" s="1553">
        <f>X137-G137</f>
        <v>0</v>
      </c>
      <c r="AE137" s="1536">
        <f>X137/AC137</f>
        <v>0.7821504466492184</v>
      </c>
      <c r="AF137" s="1536">
        <f>Y137/AC137</f>
        <v>6.9490626694579893E-2</v>
      </c>
      <c r="AG137" s="1536">
        <f>Z137/AC137</f>
        <v>1.9370065783315637E-2</v>
      </c>
      <c r="AH137" s="1536">
        <f>AA137/AC137</f>
        <v>0</v>
      </c>
      <c r="AI137" s="1536">
        <f>AB137/AC137</f>
        <v>0.12898886087288611</v>
      </c>
      <c r="AJ137" s="1537">
        <f>SUM(AE137:AI137)</f>
        <v>1</v>
      </c>
      <c r="AK137" s="1637">
        <f>I137*(1-$J$137)-K137</f>
        <v>46917.968670000002</v>
      </c>
      <c r="AL137" s="1638">
        <f>(E137*$C$86*$B$12-L137)*(1-U137)</f>
        <v>20017.905677615392</v>
      </c>
      <c r="AM137" s="1638">
        <f>(E137*($C$85)*$B$12-O137)*(1-U137)</f>
        <v>1503.8340000000005</v>
      </c>
      <c r="AN137" s="1638">
        <f>SUM(AK137:AM137)</f>
        <v>68439.708347615393</v>
      </c>
      <c r="AO137" s="1538">
        <f>AN137-X137</f>
        <v>0</v>
      </c>
      <c r="AV137" s="561"/>
      <c r="AW137" s="561"/>
    </row>
    <row r="138" spans="1:91">
      <c r="A138" s="127">
        <f>'Input data'!A118</f>
        <v>2018</v>
      </c>
      <c r="B138" s="662">
        <f>'Input data'!B118</f>
        <v>57.436000617299655</v>
      </c>
      <c r="C138" s="236">
        <f>'Input data'!C118</f>
        <v>3154.0370052724184</v>
      </c>
      <c r="D138" s="1511">
        <f>'Input data'!D118</f>
        <v>50359792.847133137</v>
      </c>
      <c r="E138" s="527">
        <f>'Input data'!J118*C138</f>
        <v>37946.363119089809</v>
      </c>
      <c r="F138" s="528">
        <f>'Input data'!L118</f>
        <v>88306.155966222956</v>
      </c>
      <c r="G138" s="528">
        <f>G137*0.94</f>
        <v>64333.325846758482</v>
      </c>
      <c r="H138" s="528">
        <f>E138*$B$12+I138*$E$80-G138</f>
        <v>4700.8289604658348</v>
      </c>
      <c r="I138" s="530">
        <f t="shared" ref="I138:I170" si="98">D138/1000</f>
        <v>50359.79284713314</v>
      </c>
      <c r="J138" s="649">
        <f>($J$150-$J$137)/($A$150-$A$137)+J137</f>
        <v>8.7582527933999524E-2</v>
      </c>
      <c r="K138" s="775">
        <f>(I138)*J138-(I138)*$J$137</f>
        <v>1311.106597922399</v>
      </c>
      <c r="L138" s="775">
        <f t="shared" ref="L138:L170" si="99">(E138)*$C$12*$G$12-(E138)*$C$12*$G$12</f>
        <v>0</v>
      </c>
      <c r="M138" s="530">
        <f>L138+K138</f>
        <v>1311.106597922399</v>
      </c>
      <c r="N138" s="649">
        <v>0.05</v>
      </c>
      <c r="O138" s="530">
        <f t="shared" ref="O138:O170" si="100">N138*$E$137*($C$85)*$B$12</f>
        <v>75.191700000000026</v>
      </c>
      <c r="P138" s="1210">
        <f>O138+M138</f>
        <v>1386.2982979223991</v>
      </c>
      <c r="Q138" s="1364">
        <f t="shared" ref="Q138:Q170" si="101">E138*$B$12+(1-$J$137)*I138-P138</f>
        <v>67647.856509301913</v>
      </c>
      <c r="R138" s="1364">
        <f>Q138-G138</f>
        <v>3314.5306625434314</v>
      </c>
      <c r="S138" s="1514">
        <f t="shared" ref="S138:S170" si="102">R138/(Q138-I138*(1-J138))</f>
        <v>0.15275248812947445</v>
      </c>
      <c r="T138" s="135" t="str">
        <f t="shared" ref="T138:T170" si="103">IF(AND(S138&gt;=0,S138&lt;=1),"Yes","No")</f>
        <v>Yes</v>
      </c>
      <c r="U138" s="1514">
        <f t="shared" ref="U138:U170" si="104">IF(S138&lt;=0,0,IF(S138&gt;=1,1,S138))</f>
        <v>0.15275248812947445</v>
      </c>
      <c r="V138" s="1539">
        <f t="shared" si="96"/>
        <v>84991.625303679524</v>
      </c>
      <c r="W138" s="1540">
        <f t="shared" si="97"/>
        <v>3.7534536819961217E-2</v>
      </c>
      <c r="X138" s="527">
        <f t="shared" ref="X138:X170" si="105">(E138*$B$12-O138-L138)*(1-U138)+I138*(1-J138)</f>
        <v>64333.325846758482</v>
      </c>
      <c r="Y138" s="1509">
        <f t="shared" ref="Y138:Y170" si="106">I138*J138+E138*$G$12*$C$12</f>
        <v>7449.3121878932852</v>
      </c>
      <c r="Z138" s="1509">
        <f t="shared" ref="Z138:Z170" si="107">($C$12*$H$12*E138+O138)</f>
        <v>1789.9687605419947</v>
      </c>
      <c r="AA138" s="1509">
        <f t="shared" ref="AA138:AA170" si="108">$F$137*$D$11</f>
        <v>0</v>
      </c>
      <c r="AB138" s="1509">
        <f t="shared" ref="AB138:AB170" si="109">E138*$E$12</f>
        <v>11419.018508485759</v>
      </c>
      <c r="AC138" s="1509">
        <f t="shared" ref="AC138:AC170" si="110">SUM(X138:AB138)</f>
        <v>84991.625303679524</v>
      </c>
      <c r="AD138" s="1535">
        <f t="shared" ref="AD138:AD170" si="111">X138-G138</f>
        <v>0</v>
      </c>
      <c r="AE138" s="1504">
        <f t="shared" ref="AE138:AE170" si="112">X138/AC138</f>
        <v>0.75693723489687537</v>
      </c>
      <c r="AF138" s="1504">
        <f t="shared" ref="AF138:AF170" si="113">Y138/AC138</f>
        <v>8.7647602469966931E-2</v>
      </c>
      <c r="AG138" s="1504">
        <f t="shared" ref="AG138:AG170" si="114">Z138/AC138</f>
        <v>2.1060531012865594E-2</v>
      </c>
      <c r="AH138" s="1504">
        <f>AA138/AC138</f>
        <v>0</v>
      </c>
      <c r="AI138" s="1504">
        <f t="shared" ref="AI138:AI169" si="115">AB138/AC138</f>
        <v>0.1343546316202921</v>
      </c>
      <c r="AJ138" s="1541">
        <f t="shared" ref="AJ138:AJ170" si="116">SUM(AE138:AI138)</f>
        <v>1</v>
      </c>
      <c r="AK138" s="1555">
        <f t="shared" ref="AK138:AK170" si="117">I138*(1-$J$137)-K138</f>
        <v>45949.154883348674</v>
      </c>
      <c r="AL138" s="1556">
        <f t="shared" ref="AL138:AL170" si="118">(E138*$C$86*$B$12-L138)*(1-U138)</f>
        <v>17158.829451148249</v>
      </c>
      <c r="AM138" s="1556">
        <f t="shared" ref="AM138:AM170" si="119">(E138*($C$85)*$B$12-O138)*(1-U138)</f>
        <v>1225.3415122615597</v>
      </c>
      <c r="AN138" s="1556">
        <f t="shared" ref="AN138:AN170" si="120">SUM(AK138:AM138)</f>
        <v>64333.325846758489</v>
      </c>
      <c r="AO138" s="1543">
        <f t="shared" ref="AO138:AO170" si="121">AN138-X138</f>
        <v>0</v>
      </c>
      <c r="AV138" s="561"/>
      <c r="AW138" s="561"/>
    </row>
    <row r="139" spans="1:91">
      <c r="A139" s="127">
        <f>'Input data'!A119</f>
        <v>2019</v>
      </c>
      <c r="B139" s="662">
        <f>'Input data'!B119</f>
        <v>58.364834921819444</v>
      </c>
      <c r="C139" s="236">
        <f>'Input data'!C119</f>
        <v>4454.6933079776372</v>
      </c>
      <c r="D139" s="1511">
        <f>'Input data'!D119</f>
        <v>53709279.804327965</v>
      </c>
      <c r="E139" s="527">
        <f>'Input data'!J119*C139</f>
        <v>53594.618441738487</v>
      </c>
      <c r="F139" s="528">
        <f>'Input data'!L119</f>
        <v>107303.89824606644</v>
      </c>
      <c r="G139" s="528">
        <f>G137*0.89</f>
        <v>60911.340429377713</v>
      </c>
      <c r="H139" s="528">
        <f t="shared" si="95"/>
        <v>20245.228303009062</v>
      </c>
      <c r="I139" s="530">
        <f t="shared" si="98"/>
        <v>53709.279804327962</v>
      </c>
      <c r="J139" s="649">
        <f t="shared" ref="J139:J149" si="122">($J$150-$J$137)/($A$150-$A$137)+J138</f>
        <v>0.11361731727283289</v>
      </c>
      <c r="K139" s="775">
        <f t="shared" ref="K139:K170" si="123">(I139)*J139-(I139)*$J$137</f>
        <v>2796.619570492272</v>
      </c>
      <c r="L139" s="775">
        <f t="shared" si="99"/>
        <v>0</v>
      </c>
      <c r="M139" s="530">
        <f t="shared" ref="M139:M170" si="124">L139+K139</f>
        <v>2796.619570492272</v>
      </c>
      <c r="N139" s="1454">
        <v>0.1</v>
      </c>
      <c r="O139" s="530">
        <f t="shared" si="100"/>
        <v>150.38340000000005</v>
      </c>
      <c r="P139" s="1210">
        <f>O139+M139</f>
        <v>2947.0029704922722</v>
      </c>
      <c r="Q139" s="1364">
        <f t="shared" si="101"/>
        <v>78209.565761894497</v>
      </c>
      <c r="R139" s="1364">
        <f t="shared" ref="R139:R170" si="125">Q139-G139</f>
        <v>17298.225332516784</v>
      </c>
      <c r="S139" s="1514">
        <f t="shared" si="102"/>
        <v>0.5652536336289522</v>
      </c>
      <c r="T139" s="135" t="str">
        <f t="shared" si="103"/>
        <v>Yes</v>
      </c>
      <c r="U139" s="1514">
        <f t="shared" si="104"/>
        <v>0.5652536336289522</v>
      </c>
      <c r="V139" s="1539">
        <f t="shared" si="96"/>
        <v>90005.672913549672</v>
      </c>
      <c r="W139" s="1540">
        <f t="shared" si="97"/>
        <v>0.16120779967237486</v>
      </c>
      <c r="X139" s="527">
        <f t="shared" si="105"/>
        <v>60911.340429377713</v>
      </c>
      <c r="Y139" s="1509">
        <f t="shared" si="106"/>
        <v>10394.061707488836</v>
      </c>
      <c r="Z139" s="1509">
        <f t="shared" si="107"/>
        <v>2572.2972467623063</v>
      </c>
      <c r="AA139" s="1509">
        <f t="shared" si="108"/>
        <v>0</v>
      </c>
      <c r="AB139" s="1509">
        <f t="shared" si="109"/>
        <v>16127.973529920817</v>
      </c>
      <c r="AC139" s="1509">
        <f t="shared" si="110"/>
        <v>90005.672913549672</v>
      </c>
      <c r="AD139" s="1535">
        <f t="shared" si="111"/>
        <v>0</v>
      </c>
      <c r="AE139" s="1504">
        <f t="shared" si="112"/>
        <v>0.67675001427835524</v>
      </c>
      <c r="AF139" s="1504">
        <f t="shared" si="113"/>
        <v>0.11548229540456098</v>
      </c>
      <c r="AG139" s="1504">
        <f t="shared" si="114"/>
        <v>2.8579279099807346E-2</v>
      </c>
      <c r="AH139" s="1504">
        <f t="shared" ref="AH139:AH170" si="126">AA139/AC139</f>
        <v>0</v>
      </c>
      <c r="AI139" s="1504">
        <f t="shared" si="115"/>
        <v>0.17918841121727644</v>
      </c>
      <c r="AJ139" s="1541">
        <f t="shared" si="116"/>
        <v>1</v>
      </c>
      <c r="AK139" s="1555">
        <f t="shared" si="117"/>
        <v>47606.975520304273</v>
      </c>
      <c r="AL139" s="1556">
        <f t="shared" si="118"/>
        <v>12435.531199729867</v>
      </c>
      <c r="AM139" s="1556">
        <f t="shared" si="119"/>
        <v>868.83370934356458</v>
      </c>
      <c r="AN139" s="1556">
        <f t="shared" si="120"/>
        <v>60911.340429377706</v>
      </c>
      <c r="AO139" s="1543">
        <f t="shared" si="121"/>
        <v>0</v>
      </c>
      <c r="AV139" s="561"/>
      <c r="AW139" s="561"/>
    </row>
    <row r="140" spans="1:91">
      <c r="A140" s="127">
        <f>'Input data'!A120</f>
        <v>2020</v>
      </c>
      <c r="B140" s="662">
        <f>'Input data'!B120</f>
        <v>59.308690000000006</v>
      </c>
      <c r="C140" s="236">
        <f>'Input data'!C120</f>
        <v>4168.5687090306074</v>
      </c>
      <c r="D140" s="1511">
        <f>'Input data'!D120</f>
        <v>50685422.165534832</v>
      </c>
      <c r="E140" s="527">
        <f>'Input data'!J120*C140</f>
        <v>50152.240336853138</v>
      </c>
      <c r="F140" s="528">
        <f>'Input data'!L120</f>
        <v>100837.66250238798</v>
      </c>
      <c r="G140" s="528">
        <f>G137*0.81</f>
        <v>55436.163761568481</v>
      </c>
      <c r="H140" s="528">
        <f t="shared" si="95"/>
        <v>20907.397866108098</v>
      </c>
      <c r="I140" s="530">
        <f t="shared" si="98"/>
        <v>50685.42216553483</v>
      </c>
      <c r="J140" s="649">
        <f t="shared" si="122"/>
        <v>0.13965210661166627</v>
      </c>
      <c r="K140" s="775">
        <f t="shared" si="123"/>
        <v>3958.7528658886044</v>
      </c>
      <c r="L140" s="775">
        <f t="shared" si="99"/>
        <v>0</v>
      </c>
      <c r="M140" s="530">
        <f t="shared" si="124"/>
        <v>3958.7528658886044</v>
      </c>
      <c r="N140" s="1454">
        <f>($N$142-$N$137)/($A$102-$A$97)+N139</f>
        <v>0.2</v>
      </c>
      <c r="O140" s="530">
        <f t="shared" si="100"/>
        <v>300.7668000000001</v>
      </c>
      <c r="P140" s="1210">
        <f t="shared" ref="P140:P170" si="127">O140+M140</f>
        <v>4259.5196658886043</v>
      </c>
      <c r="Q140" s="1364">
        <f t="shared" si="101"/>
        <v>72084.041961787982</v>
      </c>
      <c r="R140" s="1364">
        <f t="shared" si="125"/>
        <v>16647.8782002195</v>
      </c>
      <c r="S140" s="1514">
        <f t="shared" si="102"/>
        <v>0.58460897917464583</v>
      </c>
      <c r="T140" s="135" t="str">
        <f t="shared" si="103"/>
        <v>Yes</v>
      </c>
      <c r="U140" s="1514">
        <f t="shared" si="104"/>
        <v>0.58460897917464583</v>
      </c>
      <c r="V140" s="1539">
        <f t="shared" si="96"/>
        <v>84189.784302168482</v>
      </c>
      <c r="W140" s="1540">
        <f t="shared" si="97"/>
        <v>0.1650958360902629</v>
      </c>
      <c r="X140" s="527">
        <f t="shared" si="105"/>
        <v>55436.163761568474</v>
      </c>
      <c r="Y140" s="1509">
        <f t="shared" si="106"/>
        <v>11094.424163415901</v>
      </c>
      <c r="Z140" s="1509">
        <f t="shared" si="107"/>
        <v>2567.1213118810192</v>
      </c>
      <c r="AA140" s="1509">
        <f t="shared" si="108"/>
        <v>0</v>
      </c>
      <c r="AB140" s="1509">
        <f t="shared" si="109"/>
        <v>15092.075065303088</v>
      </c>
      <c r="AC140" s="1509">
        <f t="shared" si="110"/>
        <v>84189.784302168482</v>
      </c>
      <c r="AD140" s="1535">
        <f t="shared" si="111"/>
        <v>0</v>
      </c>
      <c r="AE140" s="1504">
        <f t="shared" si="112"/>
        <v>0.65846663251447002</v>
      </c>
      <c r="AF140" s="1504">
        <f t="shared" si="113"/>
        <v>0.13177874554941865</v>
      </c>
      <c r="AG140" s="1504">
        <f t="shared" si="114"/>
        <v>3.0492076124904594E-2</v>
      </c>
      <c r="AH140" s="1504">
        <f t="shared" si="126"/>
        <v>0</v>
      </c>
      <c r="AI140" s="1504">
        <f t="shared" si="115"/>
        <v>0.17926254581120671</v>
      </c>
      <c r="AJ140" s="1541">
        <f t="shared" si="116"/>
        <v>1</v>
      </c>
      <c r="AK140" s="1555">
        <f t="shared" si="117"/>
        <v>43607.096185616247</v>
      </c>
      <c r="AL140" s="1556">
        <f t="shared" si="118"/>
        <v>11118.716060892888</v>
      </c>
      <c r="AM140" s="1556">
        <f t="shared" si="119"/>
        <v>710.35151505933902</v>
      </c>
      <c r="AN140" s="1556">
        <f t="shared" si="120"/>
        <v>55436.163761568474</v>
      </c>
      <c r="AO140" s="1543">
        <f t="shared" si="121"/>
        <v>0</v>
      </c>
      <c r="AV140" s="561"/>
      <c r="AW140" s="561"/>
    </row>
    <row r="141" spans="1:91">
      <c r="A141" s="127">
        <f>'Input data'!A121</f>
        <v>2021</v>
      </c>
      <c r="B141" s="1551">
        <f>'Input data'!B121</f>
        <v>59.991580449204264</v>
      </c>
      <c r="C141" s="1550">
        <f>'Input data'!C121</f>
        <v>4297.0962474291</v>
      </c>
      <c r="D141" s="1511">
        <f>'Input data'!D121</f>
        <v>50618072.007836998</v>
      </c>
      <c r="E141" s="527">
        <f>'Input data'!J121*C141</f>
        <v>51698.561015627391</v>
      </c>
      <c r="F141" s="528">
        <f>'Input data'!L121</f>
        <v>102316.63302346438</v>
      </c>
      <c r="G141" s="528">
        <f>G137*0.65</f>
        <v>44485.810425950018</v>
      </c>
      <c r="H141" s="528">
        <f t="shared" si="95"/>
        <v>32681.836108810101</v>
      </c>
      <c r="I141" s="530">
        <f t="shared" si="98"/>
        <v>50618.072007837</v>
      </c>
      <c r="J141" s="649">
        <f t="shared" si="122"/>
        <v>0.16568689595049965</v>
      </c>
      <c r="K141" s="775">
        <f t="shared" si="123"/>
        <v>5271.3233658477393</v>
      </c>
      <c r="L141" s="775">
        <f t="shared" si="99"/>
        <v>0</v>
      </c>
      <c r="M141" s="530">
        <f t="shared" si="124"/>
        <v>5271.3233658477393</v>
      </c>
      <c r="N141" s="1454">
        <v>0.4</v>
      </c>
      <c r="O141" s="530">
        <f t="shared" si="100"/>
        <v>601.53360000000021</v>
      </c>
      <c r="P141" s="1210">
        <f t="shared" si="127"/>
        <v>5872.856965847739</v>
      </c>
      <c r="Q141" s="1364">
        <f t="shared" si="101"/>
        <v>71294.789568912383</v>
      </c>
      <c r="R141" s="1364">
        <f t="shared" si="125"/>
        <v>26808.979142962366</v>
      </c>
      <c r="S141" s="1514">
        <f t="shared" si="102"/>
        <v>0.92242874846431089</v>
      </c>
      <c r="T141" s="135" t="str">
        <f t="shared" si="103"/>
        <v>Yes</v>
      </c>
      <c r="U141" s="1514">
        <f t="shared" si="104"/>
        <v>0.92242874846431089</v>
      </c>
      <c r="V141" s="1539">
        <f t="shared" si="96"/>
        <v>75507.653880502039</v>
      </c>
      <c r="W141" s="1540">
        <f t="shared" si="97"/>
        <v>0.26201975525146737</v>
      </c>
      <c r="X141" s="527">
        <f t="shared" si="105"/>
        <v>44485.810425950018</v>
      </c>
      <c r="Y141" s="1509">
        <f t="shared" si="106"/>
        <v>12526.675899139518</v>
      </c>
      <c r="Z141" s="1509">
        <f t="shared" si="107"/>
        <v>2937.7655654826231</v>
      </c>
      <c r="AA141" s="1509">
        <f t="shared" si="108"/>
        <v>0</v>
      </c>
      <c r="AB141" s="1509">
        <f t="shared" si="109"/>
        <v>15557.401989929876</v>
      </c>
      <c r="AC141" s="1509">
        <f t="shared" si="110"/>
        <v>75507.653880502039</v>
      </c>
      <c r="AD141" s="1535">
        <f t="shared" si="111"/>
        <v>0</v>
      </c>
      <c r="AE141" s="1504">
        <f t="shared" si="112"/>
        <v>0.58915630588063295</v>
      </c>
      <c r="AF141" s="1504">
        <f t="shared" si="113"/>
        <v>0.16589941887168366</v>
      </c>
      <c r="AG141" s="1504">
        <f t="shared" si="114"/>
        <v>3.8906857974052717E-2</v>
      </c>
      <c r="AH141" s="1504">
        <f t="shared" si="126"/>
        <v>0</v>
      </c>
      <c r="AI141" s="1504">
        <f t="shared" si="115"/>
        <v>0.20603741727363067</v>
      </c>
      <c r="AJ141" s="1541">
        <f t="shared" si="116"/>
        <v>1</v>
      </c>
      <c r="AK141" s="1555">
        <f t="shared" si="117"/>
        <v>42231.320777859612</v>
      </c>
      <c r="AL141" s="1556">
        <f t="shared" si="118"/>
        <v>2140.3581499506654</v>
      </c>
      <c r="AM141" s="1556">
        <f t="shared" si="119"/>
        <v>114.13149813973843</v>
      </c>
      <c r="AN141" s="1556">
        <f t="shared" si="120"/>
        <v>44485.810425950018</v>
      </c>
      <c r="AO141" s="1543">
        <f t="shared" si="121"/>
        <v>0</v>
      </c>
      <c r="AV141" s="561"/>
      <c r="AW141" s="561"/>
    </row>
    <row r="142" spans="1:91">
      <c r="A142" s="127">
        <f>'Input data'!A122</f>
        <v>2022</v>
      </c>
      <c r="B142" s="1551">
        <f>'Input data'!B122</f>
        <v>60.682333816399378</v>
      </c>
      <c r="C142" s="1550">
        <f>'Input data'!C122</f>
        <v>4398.6096135141943</v>
      </c>
      <c r="D142" s="1511">
        <f>'Input data'!D122</f>
        <v>50359792.847133137</v>
      </c>
      <c r="E142" s="527">
        <f>'Input data'!J122*C142</f>
        <v>52919.872954728555</v>
      </c>
      <c r="F142" s="528">
        <f>'Input data'!L122</f>
        <v>103279.6658018617</v>
      </c>
      <c r="G142" s="938">
        <f>G137*(1-E4)</f>
        <v>34219.854173807704</v>
      </c>
      <c r="H142" s="528">
        <f t="shared" si="95"/>
        <v>43406.207184595216</v>
      </c>
      <c r="I142" s="530">
        <f t="shared" si="98"/>
        <v>50359.79284713314</v>
      </c>
      <c r="J142" s="649">
        <f t="shared" si="122"/>
        <v>0.19172168528933303</v>
      </c>
      <c r="K142" s="775">
        <f t="shared" si="123"/>
        <v>6555.5329896119965</v>
      </c>
      <c r="L142" s="775">
        <f t="shared" si="99"/>
        <v>0</v>
      </c>
      <c r="M142" s="530">
        <f t="shared" si="124"/>
        <v>6555.5329896119965</v>
      </c>
      <c r="N142" s="1454">
        <f>$E$26</f>
        <v>0.5</v>
      </c>
      <c r="O142" s="530">
        <f t="shared" si="100"/>
        <v>751.91700000000026</v>
      </c>
      <c r="P142" s="1210">
        <f t="shared" si="127"/>
        <v>7307.4499896119969</v>
      </c>
      <c r="Q142" s="1364">
        <f t="shared" si="101"/>
        <v>70318.611368790924</v>
      </c>
      <c r="R142" s="1364">
        <f t="shared" si="125"/>
        <v>36098.75719498322</v>
      </c>
      <c r="S142" s="1514">
        <f t="shared" si="102"/>
        <v>1.2189808862538272</v>
      </c>
      <c r="T142" s="135" t="str">
        <f t="shared" si="103"/>
        <v>No</v>
      </c>
      <c r="U142" s="1514">
        <f t="shared" si="104"/>
        <v>1</v>
      </c>
      <c r="V142" s="1539">
        <f t="shared" si="96"/>
        <v>73665.78292472985</v>
      </c>
      <c r="W142" s="1540">
        <f t="shared" si="97"/>
        <v>0.28673488287563798</v>
      </c>
      <c r="X142" s="527">
        <f t="shared" si="105"/>
        <v>40704.728491659072</v>
      </c>
      <c r="Y142" s="1509">
        <f t="shared" si="106"/>
        <v>13892.789414552248</v>
      </c>
      <c r="Z142" s="1509">
        <f t="shared" si="107"/>
        <v>3143.3394376331189</v>
      </c>
      <c r="AA142" s="1509">
        <f t="shared" si="108"/>
        <v>0</v>
      </c>
      <c r="AB142" s="1509">
        <f t="shared" si="109"/>
        <v>15924.925580885418</v>
      </c>
      <c r="AC142" s="1509">
        <f t="shared" si="110"/>
        <v>73665.78292472985</v>
      </c>
      <c r="AD142" s="1554">
        <f t="shared" si="111"/>
        <v>6484.8743178513687</v>
      </c>
      <c r="AE142" s="1504">
        <f t="shared" si="112"/>
        <v>0.55255950423075406</v>
      </c>
      <c r="AF142" s="1504">
        <f t="shared" si="113"/>
        <v>0.18859216400031489</v>
      </c>
      <c r="AG142" s="1504">
        <f t="shared" si="114"/>
        <v>4.2670278015573625E-2</v>
      </c>
      <c r="AH142" s="1504">
        <f t="shared" si="126"/>
        <v>0</v>
      </c>
      <c r="AI142" s="1504">
        <f t="shared" si="115"/>
        <v>0.21617805375335755</v>
      </c>
      <c r="AJ142" s="1541">
        <f t="shared" si="116"/>
        <v>1.0000000000000002</v>
      </c>
      <c r="AK142" s="1555">
        <f t="shared" si="117"/>
        <v>40704.72849165908</v>
      </c>
      <c r="AL142" s="1556">
        <f t="shared" si="118"/>
        <v>0</v>
      </c>
      <c r="AM142" s="1556">
        <f t="shared" si="119"/>
        <v>0</v>
      </c>
      <c r="AN142" s="1556">
        <f t="shared" si="120"/>
        <v>40704.72849165908</v>
      </c>
      <c r="AO142" s="1543">
        <f t="shared" si="121"/>
        <v>0</v>
      </c>
      <c r="AV142" s="561"/>
      <c r="AW142" s="561"/>
    </row>
    <row r="143" spans="1:91">
      <c r="A143" s="127">
        <f>'Input data'!A123</f>
        <v>2023</v>
      </c>
      <c r="B143" s="1551">
        <f>'Input data'!B123</f>
        <v>61.381040636574369</v>
      </c>
      <c r="C143" s="1550">
        <f>'Input data'!C123</f>
        <v>4491.3837914672167</v>
      </c>
      <c r="D143" s="1511">
        <f>'Input data'!D123</f>
        <v>49695564.714711666</v>
      </c>
      <c r="E143" s="527">
        <f>'Input data'!J123*C143</f>
        <v>54036.043322671459</v>
      </c>
      <c r="F143" s="528">
        <f>'Input data'!L123</f>
        <v>103731.60803738312</v>
      </c>
      <c r="G143" s="938">
        <f>($G$147-$G$142)/($A$147-$A$142)+G142</f>
        <v>32166.662923379241</v>
      </c>
      <c r="H143" s="528">
        <f t="shared" si="95"/>
        <v>45476.518546031912</v>
      </c>
      <c r="I143" s="530">
        <f t="shared" si="98"/>
        <v>49695.564714711669</v>
      </c>
      <c r="J143" s="649">
        <f t="shared" si="122"/>
        <v>0.21775647462816641</v>
      </c>
      <c r="K143" s="775">
        <f t="shared" si="123"/>
        <v>7762.8813505312773</v>
      </c>
      <c r="L143" s="775">
        <f t="shared" si="99"/>
        <v>0</v>
      </c>
      <c r="M143" s="530">
        <f t="shared" si="124"/>
        <v>7762.8813505312773</v>
      </c>
      <c r="N143" s="1454">
        <f>($N$147-$N$142)/($A$107-$A$102)+N142</f>
        <v>0.5</v>
      </c>
      <c r="O143" s="530">
        <f t="shared" si="100"/>
        <v>751.91700000000026</v>
      </c>
      <c r="P143" s="1210">
        <f t="shared" si="127"/>
        <v>8514.7983505312768</v>
      </c>
      <c r="Q143" s="1364">
        <f t="shared" si="101"/>
        <v>69128.383118879879</v>
      </c>
      <c r="R143" s="1364">
        <f t="shared" si="125"/>
        <v>36961.720195500639</v>
      </c>
      <c r="S143" s="1514">
        <f t="shared" si="102"/>
        <v>1.2216993903888442</v>
      </c>
      <c r="T143" s="135" t="str">
        <f t="shared" si="103"/>
        <v>No</v>
      </c>
      <c r="U143" s="1514">
        <f t="shared" si="104"/>
        <v>1</v>
      </c>
      <c r="V143" s="1539">
        <f t="shared" si="96"/>
        <v>73477.258656283419</v>
      </c>
      <c r="W143" s="1540">
        <f t="shared" si="97"/>
        <v>0.2916598899170304</v>
      </c>
      <c r="X143" s="527">
        <f t="shared" si="105"/>
        <v>38874.033737780155</v>
      </c>
      <c r="Y143" s="1509">
        <f t="shared" si="106"/>
        <v>15148.636884343905</v>
      </c>
      <c r="Z143" s="1509">
        <f t="shared" si="107"/>
        <v>3193.7786150741408</v>
      </c>
      <c r="AA143" s="1509">
        <f t="shared" si="108"/>
        <v>0</v>
      </c>
      <c r="AB143" s="1509">
        <f t="shared" si="109"/>
        <v>16260.809419085223</v>
      </c>
      <c r="AC143" s="1509">
        <f t="shared" si="110"/>
        <v>73477.258656283419</v>
      </c>
      <c r="AD143" s="1554">
        <f t="shared" si="111"/>
        <v>6707.3708144009142</v>
      </c>
      <c r="AE143" s="1504">
        <f t="shared" si="112"/>
        <v>0.52906211321284558</v>
      </c>
      <c r="AF143" s="1504">
        <f t="shared" si="113"/>
        <v>0.20616769271710531</v>
      </c>
      <c r="AG143" s="1504">
        <f t="shared" si="114"/>
        <v>4.3466218983674948E-2</v>
      </c>
      <c r="AH143" s="1504">
        <f t="shared" si="126"/>
        <v>0</v>
      </c>
      <c r="AI143" s="1504">
        <f t="shared" si="115"/>
        <v>0.22130397508637425</v>
      </c>
      <c r="AJ143" s="1541">
        <f t="shared" si="116"/>
        <v>1.0000000000000002</v>
      </c>
      <c r="AK143" s="1555">
        <f t="shared" si="117"/>
        <v>38874.033737780155</v>
      </c>
      <c r="AL143" s="1556">
        <f t="shared" si="118"/>
        <v>0</v>
      </c>
      <c r="AM143" s="1556">
        <f t="shared" si="119"/>
        <v>0</v>
      </c>
      <c r="AN143" s="1556">
        <f>SUM(AK143:AM143)</f>
        <v>38874.033737780155</v>
      </c>
      <c r="AO143" s="1543">
        <f t="shared" si="121"/>
        <v>0</v>
      </c>
      <c r="AV143" s="561"/>
      <c r="AW143" s="561"/>
    </row>
    <row r="144" spans="1:91">
      <c r="A144" s="127">
        <f>'Input data'!A124</f>
        <v>2024</v>
      </c>
      <c r="B144" s="1551">
        <f>'Input data'!B124</f>
        <v>62.087792487153699</v>
      </c>
      <c r="C144" s="1550">
        <f>'Input data'!C124</f>
        <v>4591.0468432418256</v>
      </c>
      <c r="D144" s="1511">
        <f>'Input data'!D124</f>
        <v>49925010.483280979</v>
      </c>
      <c r="E144" s="527">
        <f>'Input data'!J124*C144</f>
        <v>55235.094045879225</v>
      </c>
      <c r="F144" s="1509">
        <f>'Input data'!L124</f>
        <v>105160.10452916021</v>
      </c>
      <c r="G144" s="1557">
        <f t="shared" ref="G144:G146" si="128">($G$147-$G$142)/($A$147-$A$142)+G143</f>
        <v>30113.471672950778</v>
      </c>
      <c r="H144" s="1509">
        <f t="shared" si="95"/>
        <v>48433.057538749388</v>
      </c>
      <c r="I144" s="1511">
        <f t="shared" si="98"/>
        <v>49925.010483280981</v>
      </c>
      <c r="J144" s="1454">
        <f t="shared" si="122"/>
        <v>0.24379126396699979</v>
      </c>
      <c r="K144" s="1512">
        <f t="shared" si="123"/>
        <v>9098.5099146988778</v>
      </c>
      <c r="L144" s="1512">
        <f t="shared" si="99"/>
        <v>0</v>
      </c>
      <c r="M144" s="1511">
        <f t="shared" si="124"/>
        <v>9098.5099146988778</v>
      </c>
      <c r="N144" s="1454">
        <f>($N$147-$N$142)/($A$107-$A$102)+N143</f>
        <v>0.5</v>
      </c>
      <c r="O144" s="530">
        <f t="shared" si="100"/>
        <v>751.91700000000026</v>
      </c>
      <c r="P144" s="1210">
        <f t="shared" si="127"/>
        <v>9850.4269146988772</v>
      </c>
      <c r="Q144" s="1364">
        <f t="shared" si="101"/>
        <v>68696.102297001285</v>
      </c>
      <c r="R144" s="1364">
        <f t="shared" si="125"/>
        <v>38582.630624050507</v>
      </c>
      <c r="S144" s="1514">
        <f t="shared" si="102"/>
        <v>1.2469189207298756</v>
      </c>
      <c r="T144" s="135" t="str">
        <f t="shared" si="103"/>
        <v>No</v>
      </c>
      <c r="U144" s="1514">
        <f t="shared" si="104"/>
        <v>1</v>
      </c>
      <c r="V144" s="1539">
        <f t="shared" si="96"/>
        <v>74217.731306155125</v>
      </c>
      <c r="W144" s="1540">
        <f t="shared" si="97"/>
        <v>0.29424060922671458</v>
      </c>
      <c r="X144" s="527">
        <f t="shared" si="105"/>
        <v>37753.729073996197</v>
      </c>
      <c r="Y144" s="1509">
        <f t="shared" si="106"/>
        <v>16594.405069823497</v>
      </c>
      <c r="Z144" s="1509">
        <f t="shared" si="107"/>
        <v>3247.9631140768552</v>
      </c>
      <c r="AA144" s="1509">
        <f t="shared" si="108"/>
        <v>0</v>
      </c>
      <c r="AB144" s="1509">
        <f t="shared" si="109"/>
        <v>16621.634048258569</v>
      </c>
      <c r="AC144" s="1509">
        <f t="shared" si="110"/>
        <v>74217.731306155125</v>
      </c>
      <c r="AD144" s="1554">
        <f t="shared" si="111"/>
        <v>7640.2574010454191</v>
      </c>
      <c r="AE144" s="1504">
        <f t="shared" si="112"/>
        <v>0.5086888053510894</v>
      </c>
      <c r="AF144" s="1504">
        <f t="shared" si="113"/>
        <v>0.22359084248169772</v>
      </c>
      <c r="AG144" s="1504">
        <f t="shared" si="114"/>
        <v>4.3762629993076743E-2</v>
      </c>
      <c r="AH144" s="1504">
        <f t="shared" si="126"/>
        <v>0</v>
      </c>
      <c r="AI144" s="1504">
        <f t="shared" si="115"/>
        <v>0.22395772217413606</v>
      </c>
      <c r="AJ144" s="1541">
        <f t="shared" si="116"/>
        <v>1</v>
      </c>
      <c r="AK144" s="1555">
        <f t="shared" si="117"/>
        <v>37753.729073996197</v>
      </c>
      <c r="AL144" s="1556">
        <f t="shared" si="118"/>
        <v>0</v>
      </c>
      <c r="AM144" s="1556">
        <f t="shared" si="119"/>
        <v>0</v>
      </c>
      <c r="AN144" s="1556">
        <f t="shared" si="120"/>
        <v>37753.729073996197</v>
      </c>
      <c r="AO144" s="1543">
        <f t="shared" si="121"/>
        <v>0</v>
      </c>
      <c r="AV144" s="561"/>
      <c r="AW144" s="561"/>
    </row>
    <row r="145" spans="1:49">
      <c r="A145" s="127">
        <f>'Input data'!A125</f>
        <v>2025</v>
      </c>
      <c r="B145" s="1551">
        <f>'Input data'!B125</f>
        <v>62.802682000000026</v>
      </c>
      <c r="C145" s="1550">
        <f>'Input data'!C125</f>
        <v>4678.7390647078637</v>
      </c>
      <c r="D145" s="1511">
        <f>'Input data'!D125</f>
        <v>50358140.956147172</v>
      </c>
      <c r="E145" s="527">
        <f>'Input data'!J125*C145</f>
        <v>56290.12316345374</v>
      </c>
      <c r="F145" s="1509">
        <f>'Input data'!L125</f>
        <v>106648.26411960091</v>
      </c>
      <c r="G145" s="1557">
        <f t="shared" si="128"/>
        <v>28060.280422522315</v>
      </c>
      <c r="H145" s="1509">
        <f t="shared" si="95"/>
        <v>51498.104280119202</v>
      </c>
      <c r="I145" s="1511">
        <f t="shared" si="98"/>
        <v>50358.140956147174</v>
      </c>
      <c r="J145" s="1454">
        <f t="shared" si="122"/>
        <v>0.26982605330583315</v>
      </c>
      <c r="K145" s="1512">
        <f t="shared" si="123"/>
        <v>10488.508730308549</v>
      </c>
      <c r="L145" s="1512">
        <f t="shared" si="99"/>
        <v>0</v>
      </c>
      <c r="M145" s="1511">
        <f t="shared" si="124"/>
        <v>10488.508730308549</v>
      </c>
      <c r="N145" s="1454">
        <f>($N$147-$N$142)/($A$107-$A$102)+N144</f>
        <v>0.5</v>
      </c>
      <c r="O145" s="530">
        <f t="shared" si="100"/>
        <v>751.91700000000026</v>
      </c>
      <c r="P145" s="1210">
        <f t="shared" si="127"/>
        <v>11240.425730308549</v>
      </c>
      <c r="Q145" s="1364">
        <f t="shared" si="101"/>
        <v>68317.95897233297</v>
      </c>
      <c r="R145" s="1364">
        <f t="shared" si="125"/>
        <v>40257.678549810655</v>
      </c>
      <c r="S145" s="1514">
        <f t="shared" si="102"/>
        <v>1.2760868945963288</v>
      </c>
      <c r="T145" s="135" t="str">
        <f t="shared" si="103"/>
        <v>No</v>
      </c>
      <c r="U145" s="1514">
        <f t="shared" si="104"/>
        <v>1</v>
      </c>
      <c r="V145" s="1539">
        <f t="shared" si="96"/>
        <v>75100.507677399117</v>
      </c>
      <c r="W145" s="1540">
        <f t="shared" si="97"/>
        <v>0.29581125115006557</v>
      </c>
      <c r="X145" s="527">
        <f t="shared" si="105"/>
        <v>36770.202530131144</v>
      </c>
      <c r="Y145" s="1509">
        <f t="shared" si="106"/>
        <v>18095.546857208428</v>
      </c>
      <c r="Z145" s="1509">
        <f t="shared" si="107"/>
        <v>3295.6393491706608</v>
      </c>
      <c r="AA145" s="1509">
        <f t="shared" si="108"/>
        <v>0</v>
      </c>
      <c r="AB145" s="1509">
        <f t="shared" si="109"/>
        <v>16939.118940888875</v>
      </c>
      <c r="AC145" s="1509">
        <f t="shared" si="110"/>
        <v>75100.507677399117</v>
      </c>
      <c r="AD145" s="1554">
        <f t="shared" si="111"/>
        <v>8709.9221076088288</v>
      </c>
      <c r="AE145" s="1504">
        <f t="shared" si="112"/>
        <v>0.4896132352138125</v>
      </c>
      <c r="AF145" s="1504">
        <f t="shared" si="113"/>
        <v>0.24095105901200364</v>
      </c>
      <c r="AG145" s="1504">
        <f t="shared" si="114"/>
        <v>4.3883050209558787E-2</v>
      </c>
      <c r="AH145" s="1504">
        <f t="shared" si="126"/>
        <v>0</v>
      </c>
      <c r="AI145" s="1504">
        <f t="shared" si="115"/>
        <v>0.22555265556462495</v>
      </c>
      <c r="AJ145" s="1541">
        <f t="shared" si="116"/>
        <v>0.99999999999999978</v>
      </c>
      <c r="AK145" s="1555">
        <f t="shared" si="117"/>
        <v>36770.202530131151</v>
      </c>
      <c r="AL145" s="1556">
        <f t="shared" si="118"/>
        <v>0</v>
      </c>
      <c r="AM145" s="1556">
        <f t="shared" si="119"/>
        <v>0</v>
      </c>
      <c r="AN145" s="1556">
        <f t="shared" si="120"/>
        <v>36770.202530131151</v>
      </c>
      <c r="AO145" s="1543">
        <f t="shared" si="121"/>
        <v>0</v>
      </c>
      <c r="AV145" s="561"/>
      <c r="AW145" s="561"/>
    </row>
    <row r="146" spans="1:49">
      <c r="A146" s="127">
        <f>'Input data'!A126</f>
        <v>2026</v>
      </c>
      <c r="B146" s="1551">
        <f>'Input data'!B126</f>
        <v>63.421065342005143</v>
      </c>
      <c r="C146" s="1550">
        <f>'Input data'!C126</f>
        <v>4759.3318943865906</v>
      </c>
      <c r="D146" s="1511">
        <f>'Input data'!D126</f>
        <v>48568999.176537097</v>
      </c>
      <c r="E146" s="527">
        <f>'Input data'!J126*C146</f>
        <v>57259.739174512491</v>
      </c>
      <c r="F146" s="1509">
        <f>'Input data'!L126</f>
        <v>105828.73835104959</v>
      </c>
      <c r="G146" s="1557">
        <f t="shared" si="128"/>
        <v>26007.089172093853</v>
      </c>
      <c r="H146" s="1509">
        <f t="shared" si="95"/>
        <v>52428.64395205761</v>
      </c>
      <c r="I146" s="1511">
        <f t="shared" si="98"/>
        <v>48568.999176537094</v>
      </c>
      <c r="J146" s="1454">
        <f t="shared" si="122"/>
        <v>0.2958608426446665</v>
      </c>
      <c r="K146" s="1512">
        <f t="shared" si="123"/>
        <v>11380.352957632032</v>
      </c>
      <c r="L146" s="1512">
        <f t="shared" si="99"/>
        <v>0</v>
      </c>
      <c r="M146" s="1511">
        <f t="shared" si="124"/>
        <v>11380.352957632032</v>
      </c>
      <c r="N146" s="1454">
        <f>($N$147-$N$142)/($A$107-$A$102)+N145</f>
        <v>0.5</v>
      </c>
      <c r="O146" s="530">
        <f t="shared" si="100"/>
        <v>751.91700000000026</v>
      </c>
      <c r="P146" s="1210">
        <f t="shared" si="127"/>
        <v>12132.269957632032</v>
      </c>
      <c r="Q146" s="1364">
        <f t="shared" si="101"/>
        <v>66303.463166519432</v>
      </c>
      <c r="R146" s="1364">
        <f t="shared" si="125"/>
        <v>40296.373994425579</v>
      </c>
      <c r="S146" s="1514">
        <f t="shared" si="102"/>
        <v>1.2551773006646161</v>
      </c>
      <c r="T146" s="135" t="str">
        <f t="shared" si="103"/>
        <v>No</v>
      </c>
      <c r="U146" s="1514">
        <f t="shared" si="104"/>
        <v>1</v>
      </c>
      <c r="V146" s="1539">
        <f t="shared" si="96"/>
        <v>73724.609338288879</v>
      </c>
      <c r="W146" s="1540">
        <f t="shared" si="97"/>
        <v>0.30335927190463674</v>
      </c>
      <c r="X146" s="527">
        <f t="shared" si="105"/>
        <v>34199.334153758718</v>
      </c>
      <c r="Y146" s="1509">
        <f t="shared" si="106"/>
        <v>18954.918501820048</v>
      </c>
      <c r="Z146" s="1509">
        <f t="shared" si="107"/>
        <v>3339.4558089478387</v>
      </c>
      <c r="AA146" s="1509">
        <f t="shared" si="108"/>
        <v>0</v>
      </c>
      <c r="AB146" s="1509">
        <f t="shared" si="109"/>
        <v>17230.900873762275</v>
      </c>
      <c r="AC146" s="1509">
        <f t="shared" si="110"/>
        <v>73724.609338288879</v>
      </c>
      <c r="AD146" s="1554">
        <f t="shared" si="111"/>
        <v>8192.2449816648659</v>
      </c>
      <c r="AE146" s="1504">
        <f t="shared" si="112"/>
        <v>0.46387948964006642</v>
      </c>
      <c r="AF146" s="1504">
        <f t="shared" si="113"/>
        <v>0.25710436002237058</v>
      </c>
      <c r="AG146" s="1504">
        <f t="shared" si="114"/>
        <v>4.5296351366537417E-2</v>
      </c>
      <c r="AH146" s="1504">
        <f t="shared" si="126"/>
        <v>0</v>
      </c>
      <c r="AI146" s="1504">
        <f t="shared" si="115"/>
        <v>0.23371979897102563</v>
      </c>
      <c r="AJ146" s="1541">
        <f t="shared" si="116"/>
        <v>1</v>
      </c>
      <c r="AK146" s="1555">
        <f t="shared" si="117"/>
        <v>34199.334153758711</v>
      </c>
      <c r="AL146" s="1556">
        <f t="shared" si="118"/>
        <v>0</v>
      </c>
      <c r="AM146" s="1556">
        <f t="shared" si="119"/>
        <v>0</v>
      </c>
      <c r="AN146" s="1556">
        <f t="shared" si="120"/>
        <v>34199.334153758711</v>
      </c>
      <c r="AO146" s="1543">
        <f t="shared" si="121"/>
        <v>0</v>
      </c>
      <c r="AV146" s="561"/>
      <c r="AW146" s="561"/>
    </row>
    <row r="147" spans="1:49">
      <c r="A147" s="127">
        <f>'Input data'!A127</f>
        <v>2027</v>
      </c>
      <c r="B147" s="1551">
        <f>'Input data'!B127</f>
        <v>64.045537563425796</v>
      </c>
      <c r="C147" s="1550">
        <f>'Input data'!C127</f>
        <v>4833.4252769493587</v>
      </c>
      <c r="D147" s="1511">
        <f>'Input data'!D127</f>
        <v>48190122.249078177</v>
      </c>
      <c r="E147" s="527">
        <f>'Input data'!J127*C147</f>
        <v>58151.160040770083</v>
      </c>
      <c r="F147" s="1509">
        <f>'Input data'!L127</f>
        <v>106341.28228984826</v>
      </c>
      <c r="G147" s="1557">
        <f>G137*(1-E5)</f>
        <v>23953.89792166539</v>
      </c>
      <c r="H147" s="1509">
        <f t="shared" si="95"/>
        <v>54637.780932861067</v>
      </c>
      <c r="I147" s="1511">
        <f t="shared" si="98"/>
        <v>48190.12224907818</v>
      </c>
      <c r="J147" s="1454">
        <f t="shared" si="122"/>
        <v>0.32189563198349985</v>
      </c>
      <c r="K147" s="1512">
        <f t="shared" si="123"/>
        <v>12546.196809673773</v>
      </c>
      <c r="L147" s="1512">
        <f t="shared" si="99"/>
        <v>0</v>
      </c>
      <c r="M147" s="1511">
        <f t="shared" si="124"/>
        <v>12546.196809673773</v>
      </c>
      <c r="N147" s="1454">
        <f>$C$27</f>
        <v>0.5</v>
      </c>
      <c r="O147" s="530">
        <f t="shared" si="100"/>
        <v>751.91700000000026</v>
      </c>
      <c r="P147" s="1210">
        <f t="shared" si="127"/>
        <v>13298.113809673772</v>
      </c>
      <c r="Q147" s="1364">
        <f t="shared" si="101"/>
        <v>65293.565044852687</v>
      </c>
      <c r="R147" s="1364">
        <f t="shared" si="125"/>
        <v>41339.667123187297</v>
      </c>
      <c r="S147" s="1514">
        <f t="shared" si="102"/>
        <v>1.2674801547966901</v>
      </c>
      <c r="T147" s="135" t="str">
        <f t="shared" si="103"/>
        <v>No</v>
      </c>
      <c r="U147" s="1514">
        <f t="shared" si="104"/>
        <v>1</v>
      </c>
      <c r="V147" s="1539">
        <f t="shared" si="96"/>
        <v>73725.649637344613</v>
      </c>
      <c r="W147" s="1540">
        <f t="shared" si="97"/>
        <v>0.30670715972377605</v>
      </c>
      <c r="X147" s="527">
        <f t="shared" si="105"/>
        <v>32677.932392349045</v>
      </c>
      <c r="Y147" s="1509">
        <f t="shared" si="106"/>
        <v>20168.826661773055</v>
      </c>
      <c r="Z147" s="1509">
        <f t="shared" si="107"/>
        <v>3379.7386694672964</v>
      </c>
      <c r="AA147" s="1509">
        <f t="shared" si="108"/>
        <v>0</v>
      </c>
      <c r="AB147" s="1509">
        <f t="shared" si="109"/>
        <v>17499.151913755224</v>
      </c>
      <c r="AC147" s="1509">
        <f t="shared" si="110"/>
        <v>73725.649637344613</v>
      </c>
      <c r="AD147" s="1554">
        <f t="shared" si="111"/>
        <v>8724.0344706836549</v>
      </c>
      <c r="AE147" s="1504">
        <f t="shared" si="112"/>
        <v>0.44323695420917025</v>
      </c>
      <c r="AF147" s="1504">
        <f t="shared" si="113"/>
        <v>0.27356594022546044</v>
      </c>
      <c r="AG147" s="1504">
        <f t="shared" si="114"/>
        <v>4.5842100898292264E-2</v>
      </c>
      <c r="AH147" s="1504">
        <f t="shared" si="126"/>
        <v>0</v>
      </c>
      <c r="AI147" s="1504">
        <f t="shared" si="115"/>
        <v>0.23735500466707712</v>
      </c>
      <c r="AJ147" s="1541">
        <f t="shared" si="116"/>
        <v>1</v>
      </c>
      <c r="AK147" s="1555">
        <f t="shared" si="117"/>
        <v>32677.932392349041</v>
      </c>
      <c r="AL147" s="1556">
        <f t="shared" si="118"/>
        <v>0</v>
      </c>
      <c r="AM147" s="1556">
        <f t="shared" si="119"/>
        <v>0</v>
      </c>
      <c r="AN147" s="1556">
        <f t="shared" si="120"/>
        <v>32677.932392349041</v>
      </c>
      <c r="AO147" s="1543">
        <f t="shared" si="121"/>
        <v>0</v>
      </c>
      <c r="AV147" s="561"/>
      <c r="AW147" s="561"/>
    </row>
    <row r="148" spans="1:49">
      <c r="A148" s="127">
        <f>'Input data'!A128</f>
        <v>2028</v>
      </c>
      <c r="B148" s="1551">
        <f>'Input data'!B128</f>
        <v>64.676158618096451</v>
      </c>
      <c r="C148" s="1550">
        <f>'Input data'!C128</f>
        <v>4919.2292537742524</v>
      </c>
      <c r="D148" s="1511">
        <f>'Input data'!D128</f>
        <v>48438037.819118328</v>
      </c>
      <c r="E148" s="527">
        <f>'Input data'!J128*C148</f>
        <v>59183.471600912402</v>
      </c>
      <c r="F148" s="1509">
        <f>'Input data'!L128</f>
        <v>107621.50942003072</v>
      </c>
      <c r="G148" s="1557">
        <f>($G$152-$G$147)/($A$152-$A$147)+G147</f>
        <v>21900.706671236927</v>
      </c>
      <c r="H148" s="1509">
        <f t="shared" si="95"/>
        <v>57515.976833630208</v>
      </c>
      <c r="I148" s="1511">
        <f t="shared" si="98"/>
        <v>48438.037819118326</v>
      </c>
      <c r="J148" s="1454">
        <f t="shared" si="122"/>
        <v>0.34793042132233321</v>
      </c>
      <c r="K148" s="1512">
        <f t="shared" si="123"/>
        <v>13871.815216679082</v>
      </c>
      <c r="L148" s="1512">
        <f t="shared" si="99"/>
        <v>0</v>
      </c>
      <c r="M148" s="1511">
        <f t="shared" si="124"/>
        <v>13871.815216679082</v>
      </c>
      <c r="N148" s="1454">
        <f>N147</f>
        <v>0.5</v>
      </c>
      <c r="O148" s="530">
        <f t="shared" si="100"/>
        <v>751.91700000000026</v>
      </c>
      <c r="P148" s="1210">
        <f t="shared" si="127"/>
        <v>14623.732216679082</v>
      </c>
      <c r="Q148" s="1364">
        <f t="shared" si="101"/>
        <v>64792.951288188051</v>
      </c>
      <c r="R148" s="1364">
        <f t="shared" si="125"/>
        <v>42892.244616951124</v>
      </c>
      <c r="S148" s="1514">
        <f t="shared" si="102"/>
        <v>1.2916246074570821</v>
      </c>
      <c r="T148" s="135" t="str">
        <f t="shared" si="103"/>
        <v>No</v>
      </c>
      <c r="U148" s="1514">
        <f t="shared" si="104"/>
        <v>1</v>
      </c>
      <c r="V148" s="1539">
        <f t="shared" si="96"/>
        <v>74413.529044528055</v>
      </c>
      <c r="W148" s="1540">
        <f t="shared" si="97"/>
        <v>0.30856267073802934</v>
      </c>
      <c r="X148" s="527">
        <f t="shared" si="105"/>
        <v>31584.970912685378</v>
      </c>
      <c r="Y148" s="1509">
        <f t="shared" si="106"/>
        <v>21592.369302358646</v>
      </c>
      <c r="Z148" s="1509">
        <f t="shared" si="107"/>
        <v>3426.3883095687434</v>
      </c>
      <c r="AA148" s="1509">
        <f t="shared" si="108"/>
        <v>0</v>
      </c>
      <c r="AB148" s="1509">
        <f t="shared" si="109"/>
        <v>17809.800519915287</v>
      </c>
      <c r="AC148" s="1509">
        <f t="shared" si="110"/>
        <v>74413.529044528055</v>
      </c>
      <c r="AD148" s="1554">
        <f t="shared" si="111"/>
        <v>9684.2642414484508</v>
      </c>
      <c r="AE148" s="1504">
        <f t="shared" si="112"/>
        <v>0.42445199573568615</v>
      </c>
      <c r="AF148" s="1504">
        <f t="shared" si="113"/>
        <v>0.29016725291227702</v>
      </c>
      <c r="AG148" s="1504">
        <f t="shared" si="114"/>
        <v>4.6045233354252542E-2</v>
      </c>
      <c r="AH148" s="1504">
        <f t="shared" si="126"/>
        <v>0</v>
      </c>
      <c r="AI148" s="1504">
        <f t="shared" si="115"/>
        <v>0.23933551799778427</v>
      </c>
      <c r="AJ148" s="1541">
        <f t="shared" si="116"/>
        <v>1</v>
      </c>
      <c r="AK148" s="1555">
        <f t="shared" si="117"/>
        <v>31584.970912685378</v>
      </c>
      <c r="AL148" s="1556">
        <f t="shared" si="118"/>
        <v>0</v>
      </c>
      <c r="AM148" s="1556">
        <f t="shared" si="119"/>
        <v>0</v>
      </c>
      <c r="AN148" s="1556">
        <f t="shared" si="120"/>
        <v>31584.970912685378</v>
      </c>
      <c r="AO148" s="1543">
        <f t="shared" si="121"/>
        <v>0</v>
      </c>
      <c r="AV148" s="561"/>
      <c r="AW148" s="561"/>
    </row>
    <row r="149" spans="1:49">
      <c r="A149" s="127">
        <f>'Input data'!A129</f>
        <v>2029</v>
      </c>
      <c r="B149" s="1551">
        <f>'Input data'!B129</f>
        <v>65.31298905018393</v>
      </c>
      <c r="C149" s="1550">
        <f>'Input data'!C129</f>
        <v>5028.6283675846353</v>
      </c>
      <c r="D149" s="1511">
        <f>'Input data'!D129</f>
        <v>47172284.942566738</v>
      </c>
      <c r="E149" s="527">
        <f>'Input data'!J129*C149</f>
        <v>60499.65733069805</v>
      </c>
      <c r="F149" s="1509">
        <f>'Input data'!L129</f>
        <v>107671.94227326478</v>
      </c>
      <c r="G149" s="1557">
        <f t="shared" ref="G149:G151" si="129">($G$152-$G$147)/($A$152-$A$147)+G148</f>
        <v>19847.515420808464</v>
      </c>
      <c r="H149" s="1509">
        <f t="shared" si="95"/>
        <v>59136.556177329672</v>
      </c>
      <c r="I149" s="1511">
        <f t="shared" si="98"/>
        <v>47172.284942566737</v>
      </c>
      <c r="J149" s="1454">
        <f t="shared" si="122"/>
        <v>0.37396521066116656</v>
      </c>
      <c r="K149" s="1512">
        <f t="shared" si="123"/>
        <v>14737.446013333756</v>
      </c>
      <c r="L149" s="1512">
        <f t="shared" si="99"/>
        <v>0</v>
      </c>
      <c r="M149" s="1511">
        <f t="shared" si="124"/>
        <v>14737.446013333756</v>
      </c>
      <c r="N149" s="1454">
        <f t="shared" ref="N149:N170" si="130">N148</f>
        <v>0.5</v>
      </c>
      <c r="O149" s="530">
        <f t="shared" si="100"/>
        <v>751.91700000000026</v>
      </c>
      <c r="P149" s="1210">
        <f t="shared" si="127"/>
        <v>15489.363013333756</v>
      </c>
      <c r="Q149" s="1364">
        <f t="shared" si="101"/>
        <v>63494.708584804379</v>
      </c>
      <c r="R149" s="1364">
        <f t="shared" si="125"/>
        <v>43647.193163995915</v>
      </c>
      <c r="S149" s="1514">
        <f t="shared" si="102"/>
        <v>1.2851312940159219</v>
      </c>
      <c r="T149" s="135" t="str">
        <f t="shared" si="103"/>
        <v>No</v>
      </c>
      <c r="U149" s="1514">
        <f t="shared" si="104"/>
        <v>1</v>
      </c>
      <c r="V149" s="1539">
        <f t="shared" si="96"/>
        <v>73708.725155111606</v>
      </c>
      <c r="W149" s="1540">
        <f t="shared" si="97"/>
        <v>0.31543238100002513</v>
      </c>
      <c r="X149" s="527">
        <f t="shared" si="105"/>
        <v>29531.49146665119</v>
      </c>
      <c r="Y149" s="1509">
        <f t="shared" si="106"/>
        <v>22485.493578564485</v>
      </c>
      <c r="Z149" s="1509">
        <f t="shared" si="107"/>
        <v>3485.8660805942818</v>
      </c>
      <c r="AA149" s="1509">
        <f t="shared" si="108"/>
        <v>0</v>
      </c>
      <c r="AB149" s="1509">
        <f t="shared" si="109"/>
        <v>18205.874029301649</v>
      </c>
      <c r="AC149" s="1509">
        <f t="shared" si="110"/>
        <v>73708.725155111606</v>
      </c>
      <c r="AD149" s="1554">
        <f t="shared" si="111"/>
        <v>9683.9760458427263</v>
      </c>
      <c r="AE149" s="1504">
        <f t="shared" si="112"/>
        <v>0.4006512309703571</v>
      </c>
      <c r="AF149" s="1504">
        <f t="shared" si="113"/>
        <v>0.30505877738688775</v>
      </c>
      <c r="AG149" s="1504">
        <f t="shared" si="114"/>
        <v>4.729244839411717E-2</v>
      </c>
      <c r="AH149" s="1504">
        <f t="shared" si="126"/>
        <v>0</v>
      </c>
      <c r="AI149" s="1504">
        <f t="shared" si="115"/>
        <v>0.24699754324863799</v>
      </c>
      <c r="AJ149" s="1541">
        <f t="shared" si="116"/>
        <v>1</v>
      </c>
      <c r="AK149" s="1555">
        <f t="shared" si="117"/>
        <v>29531.49146665119</v>
      </c>
      <c r="AL149" s="1556">
        <f t="shared" si="118"/>
        <v>0</v>
      </c>
      <c r="AM149" s="1556">
        <f t="shared" si="119"/>
        <v>0</v>
      </c>
      <c r="AN149" s="1556">
        <f t="shared" si="120"/>
        <v>29531.49146665119</v>
      </c>
      <c r="AO149" s="1543">
        <f t="shared" si="121"/>
        <v>0</v>
      </c>
      <c r="AV149" s="561"/>
      <c r="AW149" s="561"/>
    </row>
    <row r="150" spans="1:49">
      <c r="A150" s="127">
        <f>'Input data'!A130</f>
        <v>2030</v>
      </c>
      <c r="B150" s="1551">
        <f>'Input data'!B130</f>
        <v>65.956090000000003</v>
      </c>
      <c r="C150" s="1550">
        <f>'Input data'!C130</f>
        <v>5124.9200809700387</v>
      </c>
      <c r="D150" s="1511">
        <f>'Input data'!D130</f>
        <v>46124498.893218428</v>
      </c>
      <c r="E150" s="527">
        <f>'Input data'!J130*C150</f>
        <v>61658.147327921863</v>
      </c>
      <c r="F150" s="1509">
        <f>'Input data'!L130</f>
        <v>107782.64622114028</v>
      </c>
      <c r="G150" s="1557">
        <f t="shared" si="129"/>
        <v>17794.324170380001</v>
      </c>
      <c r="H150" s="1509">
        <f t="shared" si="95"/>
        <v>60871.200048832761</v>
      </c>
      <c r="I150" s="1511">
        <f t="shared" si="98"/>
        <v>46124.498893218428</v>
      </c>
      <c r="J150" s="1454">
        <f>$H$19</f>
        <v>0.4</v>
      </c>
      <c r="K150" s="1512">
        <f t="shared" si="123"/>
        <v>15610.940956574535</v>
      </c>
      <c r="L150" s="1512">
        <f t="shared" si="99"/>
        <v>0</v>
      </c>
      <c r="M150" s="1511">
        <f t="shared" si="124"/>
        <v>15610.940956574535</v>
      </c>
      <c r="N150" s="1454">
        <f t="shared" si="130"/>
        <v>0.5</v>
      </c>
      <c r="O150" s="530">
        <f t="shared" si="100"/>
        <v>751.91700000000026</v>
      </c>
      <c r="P150" s="1210">
        <f t="shared" si="127"/>
        <v>16362.857956574535</v>
      </c>
      <c r="Q150" s="1364">
        <f t="shared" si="101"/>
        <v>62302.666262638231</v>
      </c>
      <c r="R150" s="1364">
        <f t="shared" si="125"/>
        <v>44508.34209225823</v>
      </c>
      <c r="S150" s="1514">
        <f t="shared" si="102"/>
        <v>1.2853293462611781</v>
      </c>
      <c r="T150" s="135" t="str">
        <f t="shared" si="103"/>
        <v>No</v>
      </c>
      <c r="U150" s="1514">
        <f t="shared" si="104"/>
        <v>1</v>
      </c>
      <c r="V150" s="1539">
        <f t="shared" si="96"/>
        <v>73154.67929443311</v>
      </c>
      <c r="W150" s="1540">
        <f t="shared" si="97"/>
        <v>0.32127590239026171</v>
      </c>
      <c r="X150" s="527">
        <f t="shared" si="105"/>
        <v>27674.699335931055</v>
      </c>
      <c r="Y150" s="1509">
        <f t="shared" si="106"/>
        <v>23387.269385519867</v>
      </c>
      <c r="Z150" s="1509">
        <f t="shared" si="107"/>
        <v>3538.217660793739</v>
      </c>
      <c r="AA150" s="1509">
        <f t="shared" si="108"/>
        <v>0</v>
      </c>
      <c r="AB150" s="1509">
        <f t="shared" si="109"/>
        <v>18554.49291218846</v>
      </c>
      <c r="AC150" s="1509">
        <f t="shared" si="110"/>
        <v>73154.67929443311</v>
      </c>
      <c r="AD150" s="1554">
        <f t="shared" si="111"/>
        <v>9880.3751655510532</v>
      </c>
      <c r="AE150" s="1504">
        <f t="shared" si="112"/>
        <v>0.37830388435640411</v>
      </c>
      <c r="AF150" s="1504">
        <f t="shared" si="113"/>
        <v>0.31969615082844849</v>
      </c>
      <c r="AG150" s="1504">
        <f t="shared" si="114"/>
        <v>4.8366252096507904E-2</v>
      </c>
      <c r="AH150" s="1504">
        <f t="shared" si="126"/>
        <v>0</v>
      </c>
      <c r="AI150" s="1504">
        <f t="shared" si="115"/>
        <v>0.2536337127186396</v>
      </c>
      <c r="AJ150" s="1541">
        <f t="shared" si="116"/>
        <v>1</v>
      </c>
      <c r="AK150" s="1555">
        <f t="shared" si="117"/>
        <v>27674.699335931051</v>
      </c>
      <c r="AL150" s="1556">
        <f t="shared" si="118"/>
        <v>0</v>
      </c>
      <c r="AM150" s="1556">
        <f t="shared" si="119"/>
        <v>0</v>
      </c>
      <c r="AN150" s="1556">
        <f t="shared" si="120"/>
        <v>27674.699335931051</v>
      </c>
      <c r="AO150" s="1543">
        <f t="shared" si="121"/>
        <v>0</v>
      </c>
      <c r="AV150" s="561"/>
      <c r="AW150" s="561"/>
    </row>
    <row r="151" spans="1:49">
      <c r="A151" s="127">
        <f>'Input data'!A131</f>
        <v>2031</v>
      </c>
      <c r="B151" s="1551">
        <f>'Input data'!B131</f>
        <v>66.518977190687664</v>
      </c>
      <c r="C151" s="1550">
        <f>'Input data'!C131</f>
        <v>5062.3234119259168</v>
      </c>
      <c r="D151" s="1511">
        <f>'Input data'!D131</f>
        <v>43997076.132191785</v>
      </c>
      <c r="E151" s="527">
        <f>'Input data'!J131*C151</f>
        <v>60905.0439465655</v>
      </c>
      <c r="F151" s="1509">
        <f>'Input data'!L131</f>
        <v>104902.12007875729</v>
      </c>
      <c r="G151" s="1557">
        <f t="shared" si="129"/>
        <v>15741.132919951538</v>
      </c>
      <c r="H151" s="1509">
        <f t="shared" si="95"/>
        <v>60495.770516089491</v>
      </c>
      <c r="I151" s="1511">
        <f t="shared" si="98"/>
        <v>43997.076132191782</v>
      </c>
      <c r="J151" s="1454">
        <f>J150</f>
        <v>0.4</v>
      </c>
      <c r="K151" s="1512">
        <f t="shared" si="123"/>
        <v>14890.909912140951</v>
      </c>
      <c r="L151" s="1512">
        <f t="shared" si="99"/>
        <v>0</v>
      </c>
      <c r="M151" s="1511">
        <f t="shared" si="124"/>
        <v>14890.909912140951</v>
      </c>
      <c r="N151" s="1454">
        <f t="shared" si="130"/>
        <v>0.5</v>
      </c>
      <c r="O151" s="530">
        <f t="shared" si="100"/>
        <v>751.91700000000026</v>
      </c>
      <c r="P151" s="1210">
        <f t="shared" si="127"/>
        <v>15642.82691214095</v>
      </c>
      <c r="Q151" s="1364">
        <f t="shared" si="101"/>
        <v>60594.076523900076</v>
      </c>
      <c r="R151" s="1364">
        <f t="shared" si="125"/>
        <v>44852.943603948537</v>
      </c>
      <c r="S151" s="1514">
        <f t="shared" si="102"/>
        <v>1.3116494758615027</v>
      </c>
      <c r="T151" s="135" t="str">
        <f t="shared" si="103"/>
        <v>No</v>
      </c>
      <c r="U151" s="1514">
        <f t="shared" si="104"/>
        <v>1</v>
      </c>
      <c r="V151" s="1539">
        <f t="shared" si="96"/>
        <v>70706.289234172262</v>
      </c>
      <c r="W151" s="1540">
        <f t="shared" si="97"/>
        <v>0.32597845323728303</v>
      </c>
      <c r="X151" s="527">
        <f t="shared" si="105"/>
        <v>26398.245679315067</v>
      </c>
      <c r="Y151" s="1509">
        <f t="shared" si="106"/>
        <v>22475.993162194154</v>
      </c>
      <c r="Z151" s="1509">
        <f t="shared" si="107"/>
        <v>3504.1852978367515</v>
      </c>
      <c r="AA151" s="1509">
        <f t="shared" si="108"/>
        <v>0</v>
      </c>
      <c r="AB151" s="1509">
        <f t="shared" si="109"/>
        <v>18327.865094826295</v>
      </c>
      <c r="AC151" s="1509">
        <f t="shared" si="110"/>
        <v>70706.289234172262</v>
      </c>
      <c r="AD151" s="1554">
        <f t="shared" si="111"/>
        <v>10657.112759363528</v>
      </c>
      <c r="AE151" s="1504">
        <f t="shared" si="112"/>
        <v>0.37335074383392797</v>
      </c>
      <c r="AF151" s="1504">
        <f t="shared" si="113"/>
        <v>0.3178782737099366</v>
      </c>
      <c r="AG151" s="1504">
        <f t="shared" si="114"/>
        <v>4.9559739816513848E-2</v>
      </c>
      <c r="AH151" s="1504">
        <f t="shared" si="126"/>
        <v>0</v>
      </c>
      <c r="AI151" s="1504">
        <f t="shared" si="115"/>
        <v>0.25921124263962164</v>
      </c>
      <c r="AJ151" s="1541">
        <f t="shared" si="116"/>
        <v>1</v>
      </c>
      <c r="AK151" s="1555">
        <f t="shared" si="117"/>
        <v>26398.245679315063</v>
      </c>
      <c r="AL151" s="1556">
        <f t="shared" si="118"/>
        <v>0</v>
      </c>
      <c r="AM151" s="1556">
        <f t="shared" si="119"/>
        <v>0</v>
      </c>
      <c r="AN151" s="1556">
        <f t="shared" si="120"/>
        <v>26398.245679315063</v>
      </c>
      <c r="AO151" s="1543">
        <f t="shared" si="121"/>
        <v>0</v>
      </c>
      <c r="AV151" s="561"/>
      <c r="AW151" s="561"/>
    </row>
    <row r="152" spans="1:49">
      <c r="A152" s="127">
        <f>'Input data'!A132</f>
        <v>2032</v>
      </c>
      <c r="B152" s="1551">
        <f>'Input data'!B132</f>
        <v>67.08666821358311</v>
      </c>
      <c r="C152" s="1550">
        <f>'Input data'!C132</f>
        <v>5235.9881649481622</v>
      </c>
      <c r="D152" s="1511">
        <f>'Input data'!D132</f>
        <v>43370376.757557131</v>
      </c>
      <c r="E152" s="527">
        <f>'Input data'!J132*C152</f>
        <v>62994.412513945383</v>
      </c>
      <c r="F152" s="1509">
        <f>'Input data'!L132</f>
        <v>106364.78927150252</v>
      </c>
      <c r="G152" s="1557">
        <f>G137*(1-E6)</f>
        <v>13687.941669523079</v>
      </c>
      <c r="H152" s="1509">
        <f t="shared" si="95"/>
        <v>63159.728880893526</v>
      </c>
      <c r="I152" s="1511">
        <f t="shared" si="98"/>
        <v>43370.376757557133</v>
      </c>
      <c r="J152" s="1454">
        <f t="shared" ref="J152:J170" si="131">J151</f>
        <v>0.4</v>
      </c>
      <c r="K152" s="1512">
        <f t="shared" si="123"/>
        <v>14678.802091574857</v>
      </c>
      <c r="L152" s="1512">
        <f t="shared" si="99"/>
        <v>0</v>
      </c>
      <c r="M152" s="1511">
        <f t="shared" si="124"/>
        <v>14678.802091574857</v>
      </c>
      <c r="N152" s="1454">
        <f t="shared" si="130"/>
        <v>0.5</v>
      </c>
      <c r="O152" s="530">
        <f t="shared" si="100"/>
        <v>751.91700000000026</v>
      </c>
      <c r="P152" s="1210">
        <f t="shared" si="127"/>
        <v>15430.719091574856</v>
      </c>
      <c r="Q152" s="1364">
        <f t="shared" si="101"/>
        <v>61416.951458841744</v>
      </c>
      <c r="R152" s="1364">
        <f t="shared" si="125"/>
        <v>47729.009789318661</v>
      </c>
      <c r="S152" s="1514">
        <f t="shared" si="102"/>
        <v>1.3484780357558626</v>
      </c>
      <c r="T152" s="135" t="str">
        <f t="shared" si="103"/>
        <v>No</v>
      </c>
      <c r="U152" s="1514">
        <f t="shared" si="104"/>
        <v>1</v>
      </c>
      <c r="V152" s="1539">
        <f t="shared" si="96"/>
        <v>70970.063867195044</v>
      </c>
      <c r="W152" s="1540">
        <f t="shared" si="97"/>
        <v>0.33276731563826367</v>
      </c>
      <c r="X152" s="527">
        <f t="shared" si="105"/>
        <v>26022.22605453428</v>
      </c>
      <c r="Y152" s="1509">
        <f t="shared" si="106"/>
        <v>22392.626163510547</v>
      </c>
      <c r="Z152" s="1509">
        <f t="shared" si="107"/>
        <v>3598.6028123457536</v>
      </c>
      <c r="AA152" s="1509">
        <f t="shared" si="108"/>
        <v>0</v>
      </c>
      <c r="AB152" s="1509">
        <f t="shared" si="109"/>
        <v>18956.608836804473</v>
      </c>
      <c r="AC152" s="1509">
        <f t="shared" si="110"/>
        <v>70970.063867195044</v>
      </c>
      <c r="AD152" s="1554">
        <f t="shared" si="111"/>
        <v>12334.2843850112</v>
      </c>
      <c r="AE152" s="1504">
        <f t="shared" si="112"/>
        <v>0.36666482509060699</v>
      </c>
      <c r="AF152" s="1504">
        <f t="shared" si="113"/>
        <v>0.31552213628289039</v>
      </c>
      <c r="AG152" s="1504">
        <f t="shared" si="114"/>
        <v>5.0705926080040618E-2</v>
      </c>
      <c r="AH152" s="1504">
        <f t="shared" si="126"/>
        <v>0</v>
      </c>
      <c r="AI152" s="1504">
        <f t="shared" si="115"/>
        <v>0.26710711254646213</v>
      </c>
      <c r="AJ152" s="1541">
        <f t="shared" si="116"/>
        <v>1.0000000000000002</v>
      </c>
      <c r="AK152" s="1555">
        <f t="shared" si="117"/>
        <v>26022.22605453428</v>
      </c>
      <c r="AL152" s="1556">
        <f t="shared" si="118"/>
        <v>0</v>
      </c>
      <c r="AM152" s="1556">
        <f t="shared" si="119"/>
        <v>0</v>
      </c>
      <c r="AN152" s="1556">
        <f t="shared" si="120"/>
        <v>26022.22605453428</v>
      </c>
      <c r="AO152" s="1543">
        <f t="shared" si="121"/>
        <v>0</v>
      </c>
      <c r="AV152" s="561"/>
      <c r="AW152" s="561"/>
    </row>
    <row r="153" spans="1:49">
      <c r="A153" s="127">
        <f>'Input data'!A133</f>
        <v>2033</v>
      </c>
      <c r="B153" s="1551">
        <f>'Input data'!B133</f>
        <v>67.659204065895452</v>
      </c>
      <c r="C153" s="1550">
        <f>'Input data'!C133</f>
        <v>5403.9196893114931</v>
      </c>
      <c r="D153" s="1511">
        <f>'Input data'!D133</f>
        <v>42244930.407056943</v>
      </c>
      <c r="E153" s="527">
        <f>'Input data'!J133*C153</f>
        <v>65014.804345740915</v>
      </c>
      <c r="F153" s="1509">
        <f>'Input data'!L133</f>
        <v>107259.73475279786</v>
      </c>
      <c r="G153" s="1557">
        <f>G152</f>
        <v>13687.941669523079</v>
      </c>
      <c r="H153" s="1509">
        <f t="shared" si="95"/>
        <v>63262.866425924571</v>
      </c>
      <c r="I153" s="1511">
        <f t="shared" si="98"/>
        <v>42244.930407056941</v>
      </c>
      <c r="J153" s="1454">
        <f t="shared" si="131"/>
        <v>0.4</v>
      </c>
      <c r="K153" s="1512">
        <f t="shared" si="123"/>
        <v>14297.892229158251</v>
      </c>
      <c r="L153" s="1512">
        <f t="shared" si="99"/>
        <v>0</v>
      </c>
      <c r="M153" s="1511">
        <f t="shared" si="124"/>
        <v>14297.892229158251</v>
      </c>
      <c r="N153" s="1454">
        <f t="shared" si="130"/>
        <v>0.5</v>
      </c>
      <c r="O153" s="530">
        <f t="shared" si="100"/>
        <v>751.91700000000026</v>
      </c>
      <c r="P153" s="1210">
        <f t="shared" si="127"/>
        <v>15049.809229158251</v>
      </c>
      <c r="Q153" s="1364">
        <f t="shared" si="101"/>
        <v>61900.998866289396</v>
      </c>
      <c r="R153" s="1364">
        <f t="shared" si="125"/>
        <v>48213.057196766313</v>
      </c>
      <c r="S153" s="1514">
        <f t="shared" si="102"/>
        <v>1.318952881167301</v>
      </c>
      <c r="T153" s="135" t="str">
        <f t="shared" si="103"/>
        <v>No</v>
      </c>
      <c r="U153" s="1514">
        <f t="shared" si="104"/>
        <v>1</v>
      </c>
      <c r="V153" s="1539">
        <f t="shared" si="96"/>
        <v>70705.694130742631</v>
      </c>
      <c r="W153" s="1540">
        <f t="shared" si="97"/>
        <v>0.34079928228707201</v>
      </c>
      <c r="X153" s="527">
        <f t="shared" si="105"/>
        <v>25346.958244234163</v>
      </c>
      <c r="Y153" s="1509">
        <f t="shared" si="106"/>
        <v>22104.236845708667</v>
      </c>
      <c r="Z153" s="1509">
        <f t="shared" si="107"/>
        <v>3689.9033028722483</v>
      </c>
      <c r="AA153" s="1509">
        <f t="shared" si="108"/>
        <v>0</v>
      </c>
      <c r="AB153" s="1509">
        <f t="shared" si="109"/>
        <v>19564.595737927553</v>
      </c>
      <c r="AC153" s="1509">
        <f t="shared" si="110"/>
        <v>70705.694130742631</v>
      </c>
      <c r="AD153" s="1554">
        <f t="shared" si="111"/>
        <v>11659.016574711084</v>
      </c>
      <c r="AE153" s="1504">
        <f t="shared" si="112"/>
        <v>0.35848538870666963</v>
      </c>
      <c r="AF153" s="1504">
        <f t="shared" si="113"/>
        <v>0.31262315033405219</v>
      </c>
      <c r="AG153" s="1504">
        <f t="shared" si="114"/>
        <v>5.2186791293629194E-2</v>
      </c>
      <c r="AH153" s="1504">
        <f t="shared" si="126"/>
        <v>0</v>
      </c>
      <c r="AI153" s="1504">
        <f t="shared" si="115"/>
        <v>0.27670466966564894</v>
      </c>
      <c r="AJ153" s="1541">
        <f t="shared" si="116"/>
        <v>1</v>
      </c>
      <c r="AK153" s="1555">
        <f t="shared" si="117"/>
        <v>25346.958244234163</v>
      </c>
      <c r="AL153" s="1556">
        <f t="shared" si="118"/>
        <v>0</v>
      </c>
      <c r="AM153" s="1556">
        <f t="shared" si="119"/>
        <v>0</v>
      </c>
      <c r="AN153" s="1556">
        <f t="shared" si="120"/>
        <v>25346.958244234163</v>
      </c>
      <c r="AO153" s="1543">
        <f t="shared" si="121"/>
        <v>0</v>
      </c>
      <c r="AV153" s="561"/>
      <c r="AW153" s="561"/>
    </row>
    <row r="154" spans="1:49">
      <c r="A154" s="127">
        <f>'Input data'!A134</f>
        <v>2034</v>
      </c>
      <c r="B154" s="1551">
        <f>'Input data'!B134</f>
        <v>68.236626094715163</v>
      </c>
      <c r="C154" s="1550">
        <f>'Input data'!C134</f>
        <v>5610.4237500420486</v>
      </c>
      <c r="D154" s="1511">
        <f>'Input data'!D134</f>
        <v>40465875.003352016</v>
      </c>
      <c r="E154" s="527">
        <f>'Input data'!J134*C154</f>
        <v>67499.264122512439</v>
      </c>
      <c r="F154" s="1509">
        <f>'Input data'!L134</f>
        <v>107965.13912586446</v>
      </c>
      <c r="G154" s="1557">
        <f t="shared" ref="G154:G170" si="132">G153</f>
        <v>13687.941669523079</v>
      </c>
      <c r="H154" s="1509">
        <f t="shared" si="95"/>
        <v>63018.908567771054</v>
      </c>
      <c r="I154" s="1511">
        <f t="shared" si="98"/>
        <v>40465.875003352019</v>
      </c>
      <c r="J154" s="1454">
        <f t="shared" si="131"/>
        <v>0.4</v>
      </c>
      <c r="K154" s="1512">
        <f t="shared" si="123"/>
        <v>13695.766904609831</v>
      </c>
      <c r="L154" s="1512">
        <f t="shared" si="99"/>
        <v>0</v>
      </c>
      <c r="M154" s="1511">
        <f t="shared" si="124"/>
        <v>13695.766904609831</v>
      </c>
      <c r="N154" s="1454">
        <f t="shared" si="130"/>
        <v>0.5</v>
      </c>
      <c r="O154" s="530">
        <f t="shared" si="100"/>
        <v>751.91700000000026</v>
      </c>
      <c r="P154" s="1210">
        <f t="shared" si="127"/>
        <v>14447.68390460983</v>
      </c>
      <c r="Q154" s="1364">
        <f t="shared" si="101"/>
        <v>62259.166332684297</v>
      </c>
      <c r="R154" s="1364">
        <f t="shared" si="125"/>
        <v>48571.224663161222</v>
      </c>
      <c r="S154" s="1514">
        <f t="shared" si="102"/>
        <v>1.2788752858477939</v>
      </c>
      <c r="T154" s="135" t="str">
        <f t="shared" si="103"/>
        <v>No</v>
      </c>
      <c r="U154" s="1514">
        <f t="shared" si="104"/>
        <v>1</v>
      </c>
      <c r="V154" s="1539">
        <f t="shared" si="96"/>
        <v>69985.497795191375</v>
      </c>
      <c r="W154" s="1540">
        <f t="shared" si="97"/>
        <v>0.35177689426581371</v>
      </c>
      <c r="X154" s="527">
        <f t="shared" si="105"/>
        <v>24279.525002011211</v>
      </c>
      <c r="Y154" s="1509">
        <f t="shared" si="106"/>
        <v>21591.56560505191</v>
      </c>
      <c r="Z154" s="1509">
        <f t="shared" si="107"/>
        <v>3802.1747903841533</v>
      </c>
      <c r="AA154" s="1509">
        <f t="shared" si="108"/>
        <v>0</v>
      </c>
      <c r="AB154" s="1509">
        <f t="shared" si="109"/>
        <v>20312.232397744108</v>
      </c>
      <c r="AC154" s="1509">
        <f t="shared" si="110"/>
        <v>69985.497795191375</v>
      </c>
      <c r="AD154" s="1554">
        <f t="shared" si="111"/>
        <v>10591.583332488131</v>
      </c>
      <c r="AE154" s="1504">
        <f t="shared" si="112"/>
        <v>0.34692223056073523</v>
      </c>
      <c r="AF154" s="1504">
        <f t="shared" si="113"/>
        <v>0.3085148535806434</v>
      </c>
      <c r="AG154" s="1504">
        <f t="shared" si="114"/>
        <v>5.4328038095992459E-2</v>
      </c>
      <c r="AH154" s="1504">
        <f t="shared" si="126"/>
        <v>0</v>
      </c>
      <c r="AI154" s="1504">
        <f t="shared" si="115"/>
        <v>0.29023487776262896</v>
      </c>
      <c r="AJ154" s="1541">
        <f t="shared" si="116"/>
        <v>1</v>
      </c>
      <c r="AK154" s="1555">
        <f t="shared" si="117"/>
        <v>24279.525002011207</v>
      </c>
      <c r="AL154" s="1556">
        <f t="shared" si="118"/>
        <v>0</v>
      </c>
      <c r="AM154" s="1556">
        <f t="shared" si="119"/>
        <v>0</v>
      </c>
      <c r="AN154" s="1556">
        <f t="shared" si="120"/>
        <v>24279.525002011207</v>
      </c>
      <c r="AO154" s="1543">
        <f t="shared" si="121"/>
        <v>0</v>
      </c>
      <c r="AV154" s="561"/>
      <c r="AW154" s="561"/>
    </row>
    <row r="155" spans="1:49">
      <c r="A155" s="127">
        <f>'Input data'!A135</f>
        <v>2035</v>
      </c>
      <c r="B155" s="1551">
        <f>'Input data'!B135</f>
        <v>68.818976000000006</v>
      </c>
      <c r="C155" s="1550">
        <f>'Input data'!C135</f>
        <v>5785.6697548645852</v>
      </c>
      <c r="D155" s="1511">
        <f>'Input data'!D135</f>
        <v>33374025.316822052</v>
      </c>
      <c r="E155" s="527">
        <f>'Input data'!J135*C155</f>
        <v>69607.656802449113</v>
      </c>
      <c r="F155" s="1509">
        <f>'Input data'!L135</f>
        <v>102981.68211927116</v>
      </c>
      <c r="G155" s="1557">
        <f t="shared" si="132"/>
        <v>13687.941669523079</v>
      </c>
      <c r="H155" s="1509">
        <f t="shared" si="95"/>
        <v>57573.356922858104</v>
      </c>
      <c r="I155" s="1511">
        <f t="shared" si="98"/>
        <v>33374.025316822052</v>
      </c>
      <c r="J155" s="1454">
        <f t="shared" si="131"/>
        <v>0.4</v>
      </c>
      <c r="K155" s="1512">
        <f t="shared" si="123"/>
        <v>11295.5143406606</v>
      </c>
      <c r="L155" s="1512">
        <f t="shared" si="99"/>
        <v>0</v>
      </c>
      <c r="M155" s="1511">
        <f t="shared" si="124"/>
        <v>11295.5143406606</v>
      </c>
      <c r="N155" s="1454">
        <f t="shared" si="130"/>
        <v>0.5</v>
      </c>
      <c r="O155" s="530">
        <f t="shared" si="100"/>
        <v>751.91700000000026</v>
      </c>
      <c r="P155" s="1210">
        <f t="shared" si="127"/>
        <v>12047.4313406606</v>
      </c>
      <c r="Q155" s="1364">
        <f t="shared" si="101"/>
        <v>59213.867251720578</v>
      </c>
      <c r="R155" s="1364">
        <f t="shared" si="125"/>
        <v>45525.925582197495</v>
      </c>
      <c r="S155" s="1514">
        <f t="shared" si="102"/>
        <v>1.1616882397489439</v>
      </c>
      <c r="T155" s="135" t="str">
        <f t="shared" si="103"/>
        <v>No</v>
      </c>
      <c r="U155" s="1514">
        <f t="shared" si="104"/>
        <v>1</v>
      </c>
      <c r="V155" s="1539">
        <f t="shared" si="96"/>
        <v>63792.230057643828</v>
      </c>
      <c r="W155" s="1540">
        <f t="shared" si="97"/>
        <v>0.38054779505581349</v>
      </c>
      <c r="X155" s="527">
        <f t="shared" si="105"/>
        <v>20024.41519009323</v>
      </c>
      <c r="Y155" s="1509">
        <f t="shared" si="106"/>
        <v>18923.661897181821</v>
      </c>
      <c r="Z155" s="1509">
        <f t="shared" si="107"/>
        <v>3897.4519949695709</v>
      </c>
      <c r="AA155" s="1509">
        <f t="shared" si="108"/>
        <v>0</v>
      </c>
      <c r="AB155" s="1509">
        <f t="shared" si="109"/>
        <v>20946.70097539921</v>
      </c>
      <c r="AC155" s="1509">
        <f t="shared" si="110"/>
        <v>63792.230057643828</v>
      </c>
      <c r="AD155" s="1554">
        <f t="shared" si="111"/>
        <v>6336.4735205701509</v>
      </c>
      <c r="AE155" s="1504">
        <f t="shared" si="112"/>
        <v>0.31390053572353249</v>
      </c>
      <c r="AF155" s="1504">
        <f t="shared" si="113"/>
        <v>0.29664524786297725</v>
      </c>
      <c r="AG155" s="1504">
        <f t="shared" si="114"/>
        <v>6.1096029899687813E-2</v>
      </c>
      <c r="AH155" s="1504">
        <f t="shared" si="126"/>
        <v>0</v>
      </c>
      <c r="AI155" s="1504">
        <f t="shared" si="115"/>
        <v>0.3283581865138025</v>
      </c>
      <c r="AJ155" s="1541">
        <f t="shared" si="116"/>
        <v>1</v>
      </c>
      <c r="AK155" s="1555">
        <f t="shared" si="117"/>
        <v>20024.41519009323</v>
      </c>
      <c r="AL155" s="1556">
        <f t="shared" si="118"/>
        <v>0</v>
      </c>
      <c r="AM155" s="1556">
        <f t="shared" si="119"/>
        <v>0</v>
      </c>
      <c r="AN155" s="1556">
        <f t="shared" si="120"/>
        <v>20024.41519009323</v>
      </c>
      <c r="AO155" s="1543">
        <f t="shared" si="121"/>
        <v>0</v>
      </c>
      <c r="AV155" s="561"/>
      <c r="AW155" s="561"/>
    </row>
    <row r="156" spans="1:49">
      <c r="A156" s="127">
        <f>'Input data'!A136</f>
        <v>2036</v>
      </c>
      <c r="B156" s="1551">
        <f>'Input data'!B136</f>
        <v>69.322810489383542</v>
      </c>
      <c r="C156" s="1550">
        <f>'Input data'!C136</f>
        <v>5959.8602057408698</v>
      </c>
      <c r="D156" s="1511">
        <f>'Input data'!D136</f>
        <v>24482482.614495005</v>
      </c>
      <c r="E156" s="527">
        <f>'Input data'!J136*C156</f>
        <v>71703.35006469686</v>
      </c>
      <c r="F156" s="1509">
        <f>'Input data'!L136</f>
        <v>96185.832679191866</v>
      </c>
      <c r="G156" s="1557">
        <f t="shared" si="132"/>
        <v>13687.941669523079</v>
      </c>
      <c r="H156" s="1509">
        <f t="shared" si="95"/>
        <v>50431.592281149438</v>
      </c>
      <c r="I156" s="1511">
        <f t="shared" si="98"/>
        <v>24482.482614495006</v>
      </c>
      <c r="J156" s="1454">
        <f t="shared" si="131"/>
        <v>0.4</v>
      </c>
      <c r="K156" s="1512">
        <f t="shared" si="123"/>
        <v>8286.1516056803648</v>
      </c>
      <c r="L156" s="1512">
        <f t="shared" si="99"/>
        <v>0</v>
      </c>
      <c r="M156" s="1511">
        <f t="shared" si="124"/>
        <v>8286.1516056803648</v>
      </c>
      <c r="N156" s="1454">
        <f t="shared" si="130"/>
        <v>0.5</v>
      </c>
      <c r="O156" s="530">
        <f t="shared" si="100"/>
        <v>751.91700000000026</v>
      </c>
      <c r="P156" s="1210">
        <f t="shared" si="127"/>
        <v>9038.0686056803643</v>
      </c>
      <c r="Q156" s="1364">
        <f t="shared" si="101"/>
        <v>55081.465344992146</v>
      </c>
      <c r="R156" s="1364">
        <f t="shared" si="125"/>
        <v>41393.52367546907</v>
      </c>
      <c r="S156" s="1514">
        <f t="shared" si="102"/>
        <v>1.0247957144934146</v>
      </c>
      <c r="T156" s="135" t="str">
        <f t="shared" si="103"/>
        <v>No</v>
      </c>
      <c r="U156" s="1514">
        <f t="shared" si="104"/>
        <v>1</v>
      </c>
      <c r="V156" s="1539">
        <f t="shared" si="96"/>
        <v>55793.856902896725</v>
      </c>
      <c r="W156" s="1540">
        <f t="shared" si="97"/>
        <v>0.41993685193758523</v>
      </c>
      <c r="X156" s="527">
        <f t="shared" si="105"/>
        <v>14689.489568697003</v>
      </c>
      <c r="Y156" s="1509">
        <f t="shared" si="106"/>
        <v>15534.864037229972</v>
      </c>
      <c r="Z156" s="1509">
        <f t="shared" si="107"/>
        <v>3992.1553192580318</v>
      </c>
      <c r="AA156" s="1509">
        <f t="shared" si="108"/>
        <v>0</v>
      </c>
      <c r="AB156" s="1509">
        <f t="shared" si="109"/>
        <v>21577.347977711717</v>
      </c>
      <c r="AC156" s="1509">
        <f t="shared" si="110"/>
        <v>55793.856902896725</v>
      </c>
      <c r="AD156" s="1554">
        <f t="shared" si="111"/>
        <v>1001.5478991739237</v>
      </c>
      <c r="AE156" s="1504">
        <f t="shared" si="112"/>
        <v>0.26328148624430997</v>
      </c>
      <c r="AF156" s="1504">
        <f t="shared" si="113"/>
        <v>0.27843323440189394</v>
      </c>
      <c r="AG156" s="1504">
        <f t="shared" si="114"/>
        <v>7.1551879379945962E-2</v>
      </c>
      <c r="AH156" s="1504">
        <f t="shared" si="126"/>
        <v>0</v>
      </c>
      <c r="AI156" s="1504">
        <f t="shared" si="115"/>
        <v>0.38673339997385009</v>
      </c>
      <c r="AJ156" s="1541">
        <f t="shared" si="116"/>
        <v>1</v>
      </c>
      <c r="AK156" s="1555">
        <f t="shared" si="117"/>
        <v>14689.489568697003</v>
      </c>
      <c r="AL156" s="1556">
        <f t="shared" si="118"/>
        <v>0</v>
      </c>
      <c r="AM156" s="1556">
        <f t="shared" si="119"/>
        <v>0</v>
      </c>
      <c r="AN156" s="1556">
        <f t="shared" si="120"/>
        <v>14689.489568697003</v>
      </c>
      <c r="AO156" s="1543">
        <f t="shared" si="121"/>
        <v>0</v>
      </c>
      <c r="AV156" s="561"/>
      <c r="AW156" s="561"/>
    </row>
    <row r="157" spans="1:49">
      <c r="A157" s="127">
        <f>'Input data'!A137</f>
        <v>2037</v>
      </c>
      <c r="B157" s="1551">
        <f>'Input data'!B137</f>
        <v>69.830333629884052</v>
      </c>
      <c r="C157" s="1550">
        <f>'Input data'!C137</f>
        <v>6149.2553125491713</v>
      </c>
      <c r="D157" s="1511">
        <f>'Input data'!D137</f>
        <v>21483552.95875904</v>
      </c>
      <c r="E157" s="527">
        <f>'Input data'!J137*C157</f>
        <v>73981.971236202691</v>
      </c>
      <c r="F157" s="1509">
        <f>'Input data'!L137</f>
        <v>95465.524194961734</v>
      </c>
      <c r="G157" s="1557">
        <f t="shared" si="132"/>
        <v>13687.941669523079</v>
      </c>
      <c r="H157" s="1509">
        <f t="shared" si="95"/>
        <v>48924.729015329154</v>
      </c>
      <c r="I157" s="1511">
        <f t="shared" si="98"/>
        <v>21483.552958759039</v>
      </c>
      <c r="J157" s="1454">
        <f t="shared" si="131"/>
        <v>0.4</v>
      </c>
      <c r="K157" s="1512">
        <f t="shared" si="123"/>
        <v>7271.1570819025073</v>
      </c>
      <c r="L157" s="1512">
        <f t="shared" si="99"/>
        <v>0</v>
      </c>
      <c r="M157" s="1511">
        <f t="shared" si="124"/>
        <v>7271.1570819025073</v>
      </c>
      <c r="N157" s="1454">
        <f t="shared" si="130"/>
        <v>0.5</v>
      </c>
      <c r="O157" s="530">
        <f t="shared" si="100"/>
        <v>751.91700000000026</v>
      </c>
      <c r="P157" s="1210">
        <f t="shared" si="127"/>
        <v>8023.0740819025077</v>
      </c>
      <c r="Q157" s="1364">
        <f t="shared" si="101"/>
        <v>54589.596602949721</v>
      </c>
      <c r="R157" s="1364">
        <f t="shared" si="125"/>
        <v>40901.654933426646</v>
      </c>
      <c r="S157" s="1514">
        <f t="shared" si="102"/>
        <v>0.98086762270057259</v>
      </c>
      <c r="T157" s="135" t="str">
        <f t="shared" si="103"/>
        <v>Yes</v>
      </c>
      <c r="U157" s="1514">
        <f t="shared" si="104"/>
        <v>0.98086762270057259</v>
      </c>
      <c r="V157" s="1539">
        <f t="shared" si="96"/>
        <v>54563.869261535088</v>
      </c>
      <c r="W157" s="1540">
        <f t="shared" si="97"/>
        <v>0.42844425019755206</v>
      </c>
      <c r="X157" s="527">
        <f t="shared" si="105"/>
        <v>13687.941669523072</v>
      </c>
      <c r="Y157" s="1509">
        <f t="shared" si="106"/>
        <v>14517.759922862664</v>
      </c>
      <c r="Z157" s="1509">
        <f t="shared" si="107"/>
        <v>4095.1250637445028</v>
      </c>
      <c r="AA157" s="1509">
        <f t="shared" si="108"/>
        <v>0</v>
      </c>
      <c r="AB157" s="1509">
        <f t="shared" si="109"/>
        <v>22263.042605404848</v>
      </c>
      <c r="AC157" s="1509">
        <f t="shared" si="110"/>
        <v>54563.869261535088</v>
      </c>
      <c r="AD157" s="1554">
        <f t="shared" si="111"/>
        <v>0</v>
      </c>
      <c r="AE157" s="1504">
        <f t="shared" si="112"/>
        <v>0.25086090584804649</v>
      </c>
      <c r="AF157" s="1504">
        <f t="shared" si="113"/>
        <v>0.26606910615660806</v>
      </c>
      <c r="AG157" s="1504">
        <f t="shared" si="114"/>
        <v>7.5051955060514181E-2</v>
      </c>
      <c r="AH157" s="1504">
        <f t="shared" si="126"/>
        <v>0</v>
      </c>
      <c r="AI157" s="1504">
        <f t="shared" si="115"/>
        <v>0.40801803293483119</v>
      </c>
      <c r="AJ157" s="1541">
        <f t="shared" si="116"/>
        <v>0.99999999999999989</v>
      </c>
      <c r="AK157" s="1555">
        <f t="shared" si="117"/>
        <v>12890.131775255421</v>
      </c>
      <c r="AL157" s="1556">
        <f t="shared" si="118"/>
        <v>755.44357662790765</v>
      </c>
      <c r="AM157" s="1556">
        <f t="shared" si="119"/>
        <v>42.366317639742377</v>
      </c>
      <c r="AN157" s="1556">
        <f t="shared" si="120"/>
        <v>13687.94166952307</v>
      </c>
      <c r="AO157" s="1543">
        <f t="shared" si="121"/>
        <v>0</v>
      </c>
      <c r="AV157" s="561"/>
      <c r="AW157" s="561"/>
    </row>
    <row r="158" spans="1:49">
      <c r="A158" s="127">
        <f>'Input data'!A138</f>
        <v>2038</v>
      </c>
      <c r="B158" s="1551">
        <f>'Input data'!B138</f>
        <v>70.341572426693446</v>
      </c>
      <c r="C158" s="1550">
        <f>'Input data'!C138</f>
        <v>6333.0462394281813</v>
      </c>
      <c r="D158" s="1511">
        <f>'Input data'!D138</f>
        <v>18854877.897592288</v>
      </c>
      <c r="E158" s="527">
        <f>'Input data'!J138*C158</f>
        <v>76193.168263278349</v>
      </c>
      <c r="F158" s="1509">
        <f>'Input data'!L138</f>
        <v>95048.046160870639</v>
      </c>
      <c r="G158" s="1509">
        <f t="shared" si="132"/>
        <v>13687.941669523079</v>
      </c>
      <c r="H158" s="1509">
        <f t="shared" si="95"/>
        <v>47726.643556961499</v>
      </c>
      <c r="I158" s="1511">
        <f t="shared" si="98"/>
        <v>18854.877897592287</v>
      </c>
      <c r="J158" s="1454">
        <f t="shared" si="131"/>
        <v>0.4</v>
      </c>
      <c r="K158" s="1512">
        <f t="shared" si="123"/>
        <v>6381.4760629521288</v>
      </c>
      <c r="L158" s="1512">
        <f t="shared" si="99"/>
        <v>0</v>
      </c>
      <c r="M158" s="1511">
        <f t="shared" si="124"/>
        <v>6381.4760629521288</v>
      </c>
      <c r="N158" s="1454">
        <f t="shared" si="130"/>
        <v>0.5</v>
      </c>
      <c r="O158" s="530">
        <f t="shared" si="100"/>
        <v>751.91700000000026</v>
      </c>
      <c r="P158" s="1210">
        <f t="shared" si="127"/>
        <v>7133.3930629521292</v>
      </c>
      <c r="Q158" s="1364">
        <f t="shared" si="101"/>
        <v>54281.192163532454</v>
      </c>
      <c r="R158" s="1364">
        <f t="shared" si="125"/>
        <v>40593.250494009379</v>
      </c>
      <c r="S158" s="1514">
        <f t="shared" si="102"/>
        <v>0.94472630190030593</v>
      </c>
      <c r="T158" s="135" t="str">
        <f t="shared" si="103"/>
        <v>Yes</v>
      </c>
      <c r="U158" s="1514">
        <f t="shared" si="104"/>
        <v>0.94472630190030593</v>
      </c>
      <c r="V158" s="1539">
        <f t="shared" si="96"/>
        <v>54454.795666861275</v>
      </c>
      <c r="W158" s="1540">
        <f t="shared" si="97"/>
        <v>0.42708137761511178</v>
      </c>
      <c r="X158" s="527">
        <f t="shared" si="105"/>
        <v>13687.941669523078</v>
      </c>
      <c r="Y158" s="1509">
        <f t="shared" si="106"/>
        <v>13643.358446164657</v>
      </c>
      <c r="Z158" s="1509">
        <f t="shared" si="107"/>
        <v>4195.0479450616976</v>
      </c>
      <c r="AA158" s="1509">
        <f t="shared" si="108"/>
        <v>0</v>
      </c>
      <c r="AB158" s="1509">
        <f t="shared" si="109"/>
        <v>22928.447606111837</v>
      </c>
      <c r="AC158" s="1509">
        <f t="shared" si="110"/>
        <v>54454.795666861275</v>
      </c>
      <c r="AD158" s="1554">
        <f t="shared" si="111"/>
        <v>0</v>
      </c>
      <c r="AE158" s="1504">
        <f t="shared" si="112"/>
        <v>0.25136338318597234</v>
      </c>
      <c r="AF158" s="1504">
        <f t="shared" si="113"/>
        <v>0.25054466331360026</v>
      </c>
      <c r="AG158" s="1504">
        <f t="shared" si="114"/>
        <v>7.7037254362789104E-2</v>
      </c>
      <c r="AH158" s="1504">
        <f t="shared" si="126"/>
        <v>0</v>
      </c>
      <c r="AI158" s="1504">
        <f t="shared" si="115"/>
        <v>0.42105469913763816</v>
      </c>
      <c r="AJ158" s="1541">
        <f t="shared" si="116"/>
        <v>0.99999999999999989</v>
      </c>
      <c r="AK158" s="1555">
        <f t="shared" si="117"/>
        <v>11312.926738555372</v>
      </c>
      <c r="AL158" s="1556">
        <f t="shared" si="118"/>
        <v>2247.7176307674858</v>
      </c>
      <c r="AM158" s="1556">
        <f t="shared" si="119"/>
        <v>127.29730020021991</v>
      </c>
      <c r="AN158" s="1556">
        <f t="shared" si="120"/>
        <v>13687.941669523078</v>
      </c>
      <c r="AO158" s="1543">
        <f t="shared" si="121"/>
        <v>0</v>
      </c>
      <c r="AV158" s="561"/>
      <c r="AW158" s="561"/>
    </row>
    <row r="159" spans="1:49">
      <c r="A159" s="127">
        <f>'Input data'!A139</f>
        <v>2039</v>
      </c>
      <c r="B159" s="1551">
        <f>'Input data'!B139</f>
        <v>70.856554082712819</v>
      </c>
      <c r="C159" s="1550">
        <f>'Input data'!C139</f>
        <v>6520.8289920741563</v>
      </c>
      <c r="D159" s="1511">
        <f>'Input data'!D139</f>
        <v>16226202.836425532</v>
      </c>
      <c r="E159" s="527">
        <f>'Input data'!J139*C159</f>
        <v>78452.391128290663</v>
      </c>
      <c r="F159" s="1509">
        <f>'Input data'!L139</f>
        <v>94678.593964716187</v>
      </c>
      <c r="G159" s="1509">
        <f t="shared" si="132"/>
        <v>13687.941669523079</v>
      </c>
      <c r="H159" s="1509">
        <f t="shared" si="95"/>
        <v>46556.115666333368</v>
      </c>
      <c r="I159" s="1511">
        <f t="shared" si="98"/>
        <v>16226.202836425531</v>
      </c>
      <c r="J159" s="1454">
        <f t="shared" si="131"/>
        <v>0.4</v>
      </c>
      <c r="K159" s="1512">
        <f t="shared" si="123"/>
        <v>5491.7950440017503</v>
      </c>
      <c r="L159" s="1512">
        <f t="shared" si="99"/>
        <v>0</v>
      </c>
      <c r="M159" s="1511">
        <f t="shared" si="124"/>
        <v>5491.7950440017503</v>
      </c>
      <c r="N159" s="1454">
        <f t="shared" si="130"/>
        <v>0.5</v>
      </c>
      <c r="O159" s="530">
        <f t="shared" si="100"/>
        <v>751.91700000000026</v>
      </c>
      <c r="P159" s="1210">
        <f t="shared" si="127"/>
        <v>6243.7120440017507</v>
      </c>
      <c r="Q159" s="1364">
        <f t="shared" si="101"/>
        <v>54000.34529185469</v>
      </c>
      <c r="R159" s="1364">
        <f t="shared" si="125"/>
        <v>40312.403622331607</v>
      </c>
      <c r="S159" s="1514">
        <f t="shared" si="102"/>
        <v>0.9107138015161913</v>
      </c>
      <c r="T159" s="135" t="str">
        <f t="shared" si="103"/>
        <v>Yes</v>
      </c>
      <c r="U159" s="1514">
        <f t="shared" si="104"/>
        <v>0.9107138015161913</v>
      </c>
      <c r="V159" s="1539">
        <f t="shared" si="96"/>
        <v>54366.190342384602</v>
      </c>
      <c r="W159" s="1540">
        <f t="shared" si="97"/>
        <v>0.42578160420669942</v>
      </c>
      <c r="X159" s="527">
        <f t="shared" si="105"/>
        <v>13687.941669523083</v>
      </c>
      <c r="Y159" s="1509">
        <f t="shared" si="106"/>
        <v>12772.802789298486</v>
      </c>
      <c r="Z159" s="1509">
        <f t="shared" si="107"/>
        <v>4297.1410898359891</v>
      </c>
      <c r="AA159" s="1509">
        <f t="shared" si="108"/>
        <v>0</v>
      </c>
      <c r="AB159" s="1509">
        <f t="shared" si="109"/>
        <v>23608.304793727042</v>
      </c>
      <c r="AC159" s="1509">
        <f t="shared" si="110"/>
        <v>54366.190342384602</v>
      </c>
      <c r="AD159" s="1554">
        <f t="shared" si="111"/>
        <v>0</v>
      </c>
      <c r="AE159" s="1504">
        <f t="shared" si="112"/>
        <v>0.25177305202589823</v>
      </c>
      <c r="AF159" s="1504">
        <f t="shared" si="113"/>
        <v>0.23494018449441803</v>
      </c>
      <c r="AG159" s="1504">
        <f t="shared" si="114"/>
        <v>7.9040688022715494E-2</v>
      </c>
      <c r="AH159" s="1504">
        <f t="shared" si="126"/>
        <v>0</v>
      </c>
      <c r="AI159" s="1504">
        <f t="shared" si="115"/>
        <v>0.43424607545696825</v>
      </c>
      <c r="AJ159" s="1541">
        <f t="shared" si="116"/>
        <v>1</v>
      </c>
      <c r="AK159" s="1555">
        <f t="shared" si="117"/>
        <v>9735.7217018553183</v>
      </c>
      <c r="AL159" s="1556">
        <f t="shared" si="118"/>
        <v>3738.5028374789199</v>
      </c>
      <c r="AM159" s="1556">
        <f t="shared" si="119"/>
        <v>213.7171301888435</v>
      </c>
      <c r="AN159" s="1556">
        <f t="shared" si="120"/>
        <v>13687.941669523081</v>
      </c>
      <c r="AO159" s="1543">
        <f t="shared" si="121"/>
        <v>0</v>
      </c>
      <c r="AV159" s="561"/>
      <c r="AW159" s="561"/>
    </row>
    <row r="160" spans="1:49">
      <c r="A160" s="127">
        <f>'Input data'!A140</f>
        <v>2040</v>
      </c>
      <c r="B160" s="1551">
        <f>'Input data'!B140</f>
        <v>71.375305999999995</v>
      </c>
      <c r="C160" s="1550">
        <f>'Input data'!C140</f>
        <v>6710.9821193375428</v>
      </c>
      <c r="D160" s="1511">
        <f>'Input data'!D140</f>
        <v>13597527.775258772</v>
      </c>
      <c r="E160" s="527">
        <f>'Input data'!J140*C160</f>
        <v>80740.132078477691</v>
      </c>
      <c r="F160" s="1509">
        <f>'Input data'!L140</f>
        <v>94337.659853736463</v>
      </c>
      <c r="G160" s="1509">
        <f t="shared" si="132"/>
        <v>13687.941669523079</v>
      </c>
      <c r="H160" s="1509">
        <f t="shared" si="95"/>
        <v>45401.951656019795</v>
      </c>
      <c r="I160" s="1511">
        <f t="shared" si="98"/>
        <v>13597.527775258772</v>
      </c>
      <c r="J160" s="1454">
        <f t="shared" si="131"/>
        <v>0.4</v>
      </c>
      <c r="K160" s="1512">
        <f t="shared" si="123"/>
        <v>4602.1140250513708</v>
      </c>
      <c r="L160" s="1512">
        <f t="shared" si="99"/>
        <v>0</v>
      </c>
      <c r="M160" s="1511">
        <f t="shared" si="124"/>
        <v>4602.1140250513708</v>
      </c>
      <c r="N160" s="1454">
        <f t="shared" si="130"/>
        <v>0.5</v>
      </c>
      <c r="O160" s="530">
        <f t="shared" si="100"/>
        <v>751.91700000000026</v>
      </c>
      <c r="P160" s="1210">
        <f t="shared" si="127"/>
        <v>5354.0310250513712</v>
      </c>
      <c r="Q160" s="1364">
        <f t="shared" si="101"/>
        <v>53735.862300491506</v>
      </c>
      <c r="R160" s="1364">
        <f t="shared" si="125"/>
        <v>40047.920630968423</v>
      </c>
      <c r="S160" s="1514">
        <f t="shared" si="102"/>
        <v>0.87868040739781827</v>
      </c>
      <c r="T160" s="135" t="str">
        <f t="shared" si="103"/>
        <v>Yes</v>
      </c>
      <c r="U160" s="1514">
        <f t="shared" si="104"/>
        <v>0.87868040739781827</v>
      </c>
      <c r="V160" s="1539">
        <f t="shared" si="96"/>
        <v>54289.739222768047</v>
      </c>
      <c r="W160" s="1540">
        <f t="shared" si="97"/>
        <v>0.42451679099375317</v>
      </c>
      <c r="X160" s="527">
        <f t="shared" si="105"/>
        <v>13687.941669523081</v>
      </c>
      <c r="Y160" s="1509">
        <f t="shared" si="106"/>
        <v>11904.530807683859</v>
      </c>
      <c r="Z160" s="1509">
        <f t="shared" si="107"/>
        <v>4400.5229525333853</v>
      </c>
      <c r="AA160" s="1509">
        <f t="shared" si="108"/>
        <v>0</v>
      </c>
      <c r="AB160" s="1509">
        <f t="shared" si="109"/>
        <v>24296.743793027723</v>
      </c>
      <c r="AC160" s="1509">
        <f t="shared" si="110"/>
        <v>54289.739222768047</v>
      </c>
      <c r="AD160" s="1535">
        <f t="shared" si="111"/>
        <v>0</v>
      </c>
      <c r="AE160" s="1504">
        <f t="shared" si="112"/>
        <v>0.25212760027004566</v>
      </c>
      <c r="AF160" s="1504">
        <f t="shared" si="113"/>
        <v>0.21927773052723254</v>
      </c>
      <c r="AG160" s="1504">
        <f t="shared" si="114"/>
        <v>8.1056255114371464E-2</v>
      </c>
      <c r="AH160" s="1504">
        <f t="shared" si="126"/>
        <v>0</v>
      </c>
      <c r="AI160" s="1504">
        <f t="shared" si="115"/>
        <v>0.44753841408835038</v>
      </c>
      <c r="AJ160" s="1541">
        <f t="shared" si="116"/>
        <v>1</v>
      </c>
      <c r="AK160" s="1555">
        <f t="shared" si="117"/>
        <v>8158.5166651552627</v>
      </c>
      <c r="AL160" s="1556">
        <f t="shared" si="118"/>
        <v>5227.9039033528143</v>
      </c>
      <c r="AM160" s="1556">
        <f t="shared" si="119"/>
        <v>301.5211010150029</v>
      </c>
      <c r="AN160" s="1556">
        <f t="shared" si="120"/>
        <v>13687.941669523081</v>
      </c>
      <c r="AO160" s="1543">
        <f t="shared" si="121"/>
        <v>0</v>
      </c>
      <c r="AV160" s="561"/>
      <c r="AW160" s="561"/>
    </row>
    <row r="161" spans="1:49">
      <c r="A161" s="127">
        <f>'Input data'!A141</f>
        <v>2041</v>
      </c>
      <c r="B161" s="1551">
        <f>'Input data'!B141</f>
        <v>71.818612994947316</v>
      </c>
      <c r="C161" s="1550">
        <f>'Input data'!C141</f>
        <v>6920.8570404241891</v>
      </c>
      <c r="D161" s="1511">
        <f>'Input data'!D141</f>
        <v>11135124.826855309</v>
      </c>
      <c r="E161" s="527">
        <f>'Input data'!J141*C161</f>
        <v>83265.146829994948</v>
      </c>
      <c r="F161" s="1509">
        <f>'Input data'!L141</f>
        <v>94400.271656850266</v>
      </c>
      <c r="G161" s="1509">
        <f t="shared" si="132"/>
        <v>13687.941669523079</v>
      </c>
      <c r="H161" s="1509">
        <f t="shared" si="95"/>
        <v>44539.97548246845</v>
      </c>
      <c r="I161" s="1511">
        <f t="shared" si="98"/>
        <v>11135.12482685531</v>
      </c>
      <c r="J161" s="1454">
        <f t="shared" si="131"/>
        <v>0.4</v>
      </c>
      <c r="K161" s="1512">
        <f t="shared" si="123"/>
        <v>3768.7081786742888</v>
      </c>
      <c r="L161" s="1512">
        <f t="shared" si="99"/>
        <v>0</v>
      </c>
      <c r="M161" s="1511">
        <f t="shared" si="124"/>
        <v>3768.7081786742888</v>
      </c>
      <c r="N161" s="1454">
        <f t="shared" si="130"/>
        <v>0.5</v>
      </c>
      <c r="O161" s="530">
        <f t="shared" si="100"/>
        <v>751.91700000000026</v>
      </c>
      <c r="P161" s="1210">
        <f t="shared" si="127"/>
        <v>4520.6251786742887</v>
      </c>
      <c r="Q161" s="1364">
        <f t="shared" si="101"/>
        <v>53707.291973317238</v>
      </c>
      <c r="R161" s="1364">
        <f t="shared" si="125"/>
        <v>40019.350303794155</v>
      </c>
      <c r="S161" s="1514">
        <f t="shared" si="102"/>
        <v>0.85100084146877986</v>
      </c>
      <c r="T161" s="135" t="str">
        <f t="shared" si="103"/>
        <v>Yes</v>
      </c>
      <c r="U161" s="1514">
        <f t="shared" si="104"/>
        <v>0.85100084146877986</v>
      </c>
      <c r="V161" s="1539">
        <f t="shared" si="96"/>
        <v>54380.92135305611</v>
      </c>
      <c r="W161" s="1540">
        <f t="shared" si="97"/>
        <v>0.42393257563141884</v>
      </c>
      <c r="X161" s="527">
        <f t="shared" si="105"/>
        <v>13687.941669523083</v>
      </c>
      <c r="Y161" s="1509">
        <f t="shared" si="106"/>
        <v>11121.768116141986</v>
      </c>
      <c r="Z161" s="1509">
        <f t="shared" si="107"/>
        <v>4514.6270989529849</v>
      </c>
      <c r="AA161" s="1509">
        <f t="shared" si="108"/>
        <v>0</v>
      </c>
      <c r="AB161" s="1509">
        <f t="shared" si="109"/>
        <v>25056.584468438061</v>
      </c>
      <c r="AC161" s="1509">
        <f t="shared" si="110"/>
        <v>54380.92135305611</v>
      </c>
      <c r="AD161" s="1535">
        <f t="shared" si="111"/>
        <v>0</v>
      </c>
      <c r="AE161" s="1504">
        <f t="shared" si="112"/>
        <v>0.25170485032162565</v>
      </c>
      <c r="AF161" s="1504">
        <f t="shared" si="113"/>
        <v>0.2045159927309132</v>
      </c>
      <c r="AG161" s="1504">
        <f t="shared" si="114"/>
        <v>8.3018584213437038E-2</v>
      </c>
      <c r="AH161" s="1504">
        <f t="shared" si="126"/>
        <v>0</v>
      </c>
      <c r="AI161" s="1504">
        <f t="shared" si="115"/>
        <v>0.46076057273402421</v>
      </c>
      <c r="AJ161" s="1541">
        <f t="shared" si="116"/>
        <v>1</v>
      </c>
      <c r="AK161" s="1555">
        <f t="shared" si="117"/>
        <v>6681.0748961131849</v>
      </c>
      <c r="AL161" s="1556">
        <f t="shared" si="118"/>
        <v>6621.467705152977</v>
      </c>
      <c r="AM161" s="1556">
        <f t="shared" si="119"/>
        <v>385.39906825692015</v>
      </c>
      <c r="AN161" s="1556">
        <f t="shared" si="120"/>
        <v>13687.941669523083</v>
      </c>
      <c r="AO161" s="1543">
        <f t="shared" si="121"/>
        <v>0</v>
      </c>
      <c r="AV161" s="561"/>
      <c r="AW161" s="561"/>
    </row>
    <row r="162" spans="1:49">
      <c r="A162" s="127">
        <f>'Input data'!A142</f>
        <v>2042</v>
      </c>
      <c r="B162" s="1551">
        <f>'Input data'!B142</f>
        <v>72.264673338395411</v>
      </c>
      <c r="C162" s="1550">
        <f>'Input data'!C142</f>
        <v>7114.4180841945599</v>
      </c>
      <c r="D162" s="1511">
        <f>'Input data'!D142</f>
        <v>8672721.8784518428</v>
      </c>
      <c r="E162" s="527">
        <f>'Input data'!J142*C162</f>
        <v>85593.88857916987</v>
      </c>
      <c r="F162" s="1509">
        <f>'Input data'!L142</f>
        <v>94266.610457621719</v>
      </c>
      <c r="G162" s="1509">
        <f t="shared" si="132"/>
        <v>13687.941669523079</v>
      </c>
      <c r="H162" s="1509">
        <f t="shared" si="95"/>
        <v>43565.376462760411</v>
      </c>
      <c r="I162" s="1511">
        <f t="shared" si="98"/>
        <v>8672.7218784518427</v>
      </c>
      <c r="J162" s="1454">
        <f t="shared" si="131"/>
        <v>0.4</v>
      </c>
      <c r="K162" s="1512">
        <f t="shared" si="123"/>
        <v>2935.3023322972049</v>
      </c>
      <c r="L162" s="1512">
        <f t="shared" si="99"/>
        <v>0</v>
      </c>
      <c r="M162" s="1511">
        <f t="shared" si="124"/>
        <v>2935.3023322972049</v>
      </c>
      <c r="N162" s="1454">
        <f t="shared" si="130"/>
        <v>0.5</v>
      </c>
      <c r="O162" s="530">
        <f t="shared" si="100"/>
        <v>751.91700000000026</v>
      </c>
      <c r="P162" s="1210">
        <f t="shared" si="127"/>
        <v>3687.2193322972053</v>
      </c>
      <c r="Q162" s="1364">
        <f t="shared" si="101"/>
        <v>53566.098799986285</v>
      </c>
      <c r="R162" s="1364">
        <f t="shared" si="125"/>
        <v>39878.157130463209</v>
      </c>
      <c r="S162" s="1514">
        <f t="shared" si="102"/>
        <v>0.8245683212300835</v>
      </c>
      <c r="T162" s="135" t="str">
        <f t="shared" si="103"/>
        <v>Yes</v>
      </c>
      <c r="U162" s="1514">
        <f t="shared" si="104"/>
        <v>0.8245683212300835</v>
      </c>
      <c r="V162" s="1539">
        <f t="shared" si="96"/>
        <v>54388.45332715851</v>
      </c>
      <c r="W162" s="1540">
        <f t="shared" si="97"/>
        <v>0.42303586537028126</v>
      </c>
      <c r="X162" s="527">
        <f t="shared" si="105"/>
        <v>13687.941669523076</v>
      </c>
      <c r="Y162" s="1509">
        <f t="shared" si="106"/>
        <v>10323.288247403594</v>
      </c>
      <c r="Z162" s="1509">
        <f t="shared" si="107"/>
        <v>4619.8617671313086</v>
      </c>
      <c r="AA162" s="1509">
        <f t="shared" si="108"/>
        <v>0</v>
      </c>
      <c r="AB162" s="1509">
        <f t="shared" si="109"/>
        <v>25757.361643100532</v>
      </c>
      <c r="AC162" s="1509">
        <f t="shared" si="110"/>
        <v>54388.45332715851</v>
      </c>
      <c r="AD162" s="1535">
        <f t="shared" si="111"/>
        <v>0</v>
      </c>
      <c r="AE162" s="1504">
        <f t="shared" si="112"/>
        <v>0.25166999302567211</v>
      </c>
      <c r="AF162" s="1504">
        <f t="shared" si="113"/>
        <v>0.18980661548337741</v>
      </c>
      <c r="AG162" s="1504">
        <f t="shared" si="114"/>
        <v>8.4941958899655112E-2</v>
      </c>
      <c r="AH162" s="1504">
        <f t="shared" si="126"/>
        <v>0</v>
      </c>
      <c r="AI162" s="1504">
        <f t="shared" si="115"/>
        <v>0.47358143259129537</v>
      </c>
      <c r="AJ162" s="1541">
        <f t="shared" si="116"/>
        <v>1</v>
      </c>
      <c r="AK162" s="1555">
        <f t="shared" si="117"/>
        <v>5203.6331270711053</v>
      </c>
      <c r="AL162" s="1556">
        <f t="shared" si="118"/>
        <v>8014.1593522355433</v>
      </c>
      <c r="AM162" s="1556">
        <f t="shared" si="119"/>
        <v>470.14919021642555</v>
      </c>
      <c r="AN162" s="1556">
        <f t="shared" si="120"/>
        <v>13687.941669523074</v>
      </c>
      <c r="AO162" s="1543">
        <f t="shared" si="121"/>
        <v>0</v>
      </c>
      <c r="AV162" s="561"/>
      <c r="AW162" s="561"/>
    </row>
    <row r="163" spans="1:49">
      <c r="A163" s="127">
        <f>'Input data'!A143</f>
        <v>2043</v>
      </c>
      <c r="B163" s="1551">
        <f>'Input data'!B143</f>
        <v>72.713504131197794</v>
      </c>
      <c r="C163" s="1550">
        <f>'Input data'!C143</f>
        <v>7308.347295357521</v>
      </c>
      <c r="D163" s="1511">
        <f>'Input data'!D143</f>
        <v>6210318.9300483763</v>
      </c>
      <c r="E163" s="527">
        <f>'Input data'!J143*C163</f>
        <v>87927.059767043364</v>
      </c>
      <c r="F163" s="1509">
        <f>'Input data'!L143</f>
        <v>94137.378697091743</v>
      </c>
      <c r="G163" s="1509">
        <f t="shared" si="132"/>
        <v>13687.941669523079</v>
      </c>
      <c r="H163" s="1509">
        <f t="shared" si="95"/>
        <v>42593.319086514079</v>
      </c>
      <c r="I163" s="1511">
        <f t="shared" si="98"/>
        <v>6210.3189300483764</v>
      </c>
      <c r="J163" s="1454">
        <f t="shared" si="131"/>
        <v>0.4</v>
      </c>
      <c r="K163" s="1512">
        <f t="shared" si="123"/>
        <v>2101.8964859201214</v>
      </c>
      <c r="L163" s="1512">
        <f t="shared" si="99"/>
        <v>0</v>
      </c>
      <c r="M163" s="1511">
        <f t="shared" si="124"/>
        <v>2101.8964859201214</v>
      </c>
      <c r="N163" s="1454">
        <f t="shared" si="130"/>
        <v>0.5</v>
      </c>
      <c r="O163" s="530">
        <f t="shared" si="100"/>
        <v>751.91700000000026</v>
      </c>
      <c r="P163" s="1210">
        <f t="shared" si="127"/>
        <v>2853.8134859201218</v>
      </c>
      <c r="Q163" s="1364">
        <f t="shared" si="101"/>
        <v>53427.447270117031</v>
      </c>
      <c r="R163" s="1364">
        <f t="shared" si="125"/>
        <v>39739.505600593955</v>
      </c>
      <c r="S163" s="1514">
        <f t="shared" si="102"/>
        <v>0.79956743288108301</v>
      </c>
      <c r="T163" s="135" t="str">
        <f t="shared" si="103"/>
        <v>Yes</v>
      </c>
      <c r="U163" s="1514">
        <f t="shared" si="104"/>
        <v>0.79956743288108301</v>
      </c>
      <c r="V163" s="1539">
        <f t="shared" si="96"/>
        <v>54397.873096497788</v>
      </c>
      <c r="W163" s="1540">
        <f t="shared" si="97"/>
        <v>0.42214374513725073</v>
      </c>
      <c r="X163" s="527">
        <f t="shared" si="105"/>
        <v>13687.941669523074</v>
      </c>
      <c r="Y163" s="1509">
        <f t="shared" si="106"/>
        <v>9525.1630798827682</v>
      </c>
      <c r="Z163" s="1509">
        <f t="shared" si="107"/>
        <v>4725.2965994162041</v>
      </c>
      <c r="AA163" s="1509">
        <f t="shared" si="108"/>
        <v>0</v>
      </c>
      <c r="AB163" s="1509">
        <f t="shared" si="109"/>
        <v>26459.471747675743</v>
      </c>
      <c r="AC163" s="1509">
        <f t="shared" si="110"/>
        <v>54397.873096497788</v>
      </c>
      <c r="AD163" s="1535">
        <f t="shared" si="111"/>
        <v>0</v>
      </c>
      <c r="AE163" s="1504">
        <f t="shared" si="112"/>
        <v>0.25162641276878017</v>
      </c>
      <c r="AF163" s="1504">
        <f t="shared" si="113"/>
        <v>0.17510175559595567</v>
      </c>
      <c r="AG163" s="1504">
        <f t="shared" si="114"/>
        <v>8.6865466063974203E-2</v>
      </c>
      <c r="AH163" s="1504">
        <f t="shared" si="126"/>
        <v>0</v>
      </c>
      <c r="AI163" s="1504">
        <f t="shared" si="115"/>
        <v>0.48640636557128997</v>
      </c>
      <c r="AJ163" s="1541">
        <f t="shared" si="116"/>
        <v>1</v>
      </c>
      <c r="AK163" s="1555">
        <f t="shared" si="117"/>
        <v>3726.1913580290257</v>
      </c>
      <c r="AL163" s="1556">
        <f t="shared" si="118"/>
        <v>9405.8497493109044</v>
      </c>
      <c r="AM163" s="1556">
        <f t="shared" si="119"/>
        <v>555.90056218314351</v>
      </c>
      <c r="AN163" s="1556">
        <f t="shared" si="120"/>
        <v>13687.941669523074</v>
      </c>
      <c r="AO163" s="1543">
        <f t="shared" si="121"/>
        <v>0</v>
      </c>
      <c r="AV163" s="561"/>
      <c r="AW163" s="561"/>
    </row>
    <row r="164" spans="1:49">
      <c r="A164" s="127">
        <f>'Input data'!A144</f>
        <v>2044</v>
      </c>
      <c r="B164" s="1551">
        <f>'Input data'!B144</f>
        <v>73.165122580420132</v>
      </c>
      <c r="C164" s="1550">
        <f>'Input data'!C144</f>
        <v>7506.518596985471</v>
      </c>
      <c r="D164" s="1511">
        <f>'Input data'!D144</f>
        <v>3747915.9816449117</v>
      </c>
      <c r="E164" s="527">
        <f>'Input data'!J144*C164</f>
        <v>90311.267738854192</v>
      </c>
      <c r="F164" s="1509">
        <f>'Input data'!L144</f>
        <v>94059.183720499102</v>
      </c>
      <c r="G164" s="1509">
        <f t="shared" si="132"/>
        <v>13687.941669523079</v>
      </c>
      <c r="H164" s="1509">
        <f t="shared" si="95"/>
        <v>41650.546980259591</v>
      </c>
      <c r="I164" s="1511">
        <f t="shared" si="98"/>
        <v>3747.9159816449119</v>
      </c>
      <c r="J164" s="1454">
        <f t="shared" si="131"/>
        <v>0.4</v>
      </c>
      <c r="K164" s="1512">
        <f t="shared" si="123"/>
        <v>1268.4906395430385</v>
      </c>
      <c r="L164" s="1512">
        <f t="shared" si="99"/>
        <v>0</v>
      </c>
      <c r="M164" s="1511">
        <f t="shared" si="124"/>
        <v>1268.4906395430385</v>
      </c>
      <c r="N164" s="1454">
        <f t="shared" si="130"/>
        <v>0.5</v>
      </c>
      <c r="O164" s="530">
        <f t="shared" si="100"/>
        <v>751.91700000000026</v>
      </c>
      <c r="P164" s="1210">
        <f t="shared" si="127"/>
        <v>2020.4076395430388</v>
      </c>
      <c r="Q164" s="1364">
        <f t="shared" si="101"/>
        <v>53318.081010239628</v>
      </c>
      <c r="R164" s="1364">
        <f t="shared" si="125"/>
        <v>39630.139340716545</v>
      </c>
      <c r="S164" s="1514">
        <f t="shared" si="102"/>
        <v>0.77600662154398836</v>
      </c>
      <c r="T164" s="135" t="str">
        <f t="shared" si="103"/>
        <v>Yes</v>
      </c>
      <c r="U164" s="1514">
        <f t="shared" si="104"/>
        <v>0.77600662154398836</v>
      </c>
      <c r="V164" s="1539">
        <f t="shared" si="96"/>
        <v>54429.044379782572</v>
      </c>
      <c r="W164" s="1540">
        <f t="shared" si="97"/>
        <v>0.42133195051404215</v>
      </c>
      <c r="X164" s="527">
        <f t="shared" si="105"/>
        <v>13687.941669523087</v>
      </c>
      <c r="Y164" s="1509">
        <f t="shared" si="106"/>
        <v>8731.1248431527856</v>
      </c>
      <c r="Z164" s="1509">
        <f t="shared" si="107"/>
        <v>4833.0377582933197</v>
      </c>
      <c r="AA164" s="1509">
        <f t="shared" si="108"/>
        <v>0</v>
      </c>
      <c r="AB164" s="1509">
        <f t="shared" si="109"/>
        <v>27176.940108813385</v>
      </c>
      <c r="AC164" s="1509">
        <f t="shared" si="110"/>
        <v>54429.044379782572</v>
      </c>
      <c r="AD164" s="1535">
        <f t="shared" si="111"/>
        <v>0</v>
      </c>
      <c r="AE164" s="1504">
        <f t="shared" si="112"/>
        <v>0.25148230738747662</v>
      </c>
      <c r="AF164" s="1504">
        <f t="shared" si="113"/>
        <v>0.16041297330577281</v>
      </c>
      <c r="AG164" s="1504">
        <f t="shared" si="114"/>
        <v>8.8795197736165482E-2</v>
      </c>
      <c r="AH164" s="1504">
        <f t="shared" si="126"/>
        <v>0</v>
      </c>
      <c r="AI164" s="1504">
        <f t="shared" si="115"/>
        <v>0.49930952157058522</v>
      </c>
      <c r="AJ164" s="1541">
        <f t="shared" si="116"/>
        <v>1.0000000000000002</v>
      </c>
      <c r="AK164" s="1555">
        <f t="shared" si="117"/>
        <v>2248.7495889869469</v>
      </c>
      <c r="AL164" s="1556">
        <f t="shared" si="118"/>
        <v>10796.53299005724</v>
      </c>
      <c r="AM164" s="1556">
        <f t="shared" si="119"/>
        <v>642.65909047889772</v>
      </c>
      <c r="AN164" s="1556">
        <f t="shared" si="120"/>
        <v>13687.941669523083</v>
      </c>
      <c r="AO164" s="1543">
        <f t="shared" si="121"/>
        <v>0</v>
      </c>
      <c r="AV164" s="561"/>
      <c r="AW164" s="561"/>
    </row>
    <row r="165" spans="1:49">
      <c r="A165" s="127">
        <f>'Input data'!A145</f>
        <v>2045</v>
      </c>
      <c r="B165" s="1551">
        <f>'Input data'!B145</f>
        <v>73.619545999999971</v>
      </c>
      <c r="C165" s="1550">
        <f>'Input data'!C145</f>
        <v>7710.3236783048815</v>
      </c>
      <c r="D165" s="1511">
        <f>'Input data'!D145</f>
        <v>1285513.0332414466</v>
      </c>
      <c r="E165" s="527">
        <f>'Input data'!J145*C165</f>
        <v>92763.255971184393</v>
      </c>
      <c r="F165" s="1509">
        <f>'Input data'!L145</f>
        <v>94048.769004425834</v>
      </c>
      <c r="G165" s="1509">
        <f t="shared" si="132"/>
        <v>13687.941669523079</v>
      </c>
      <c r="H165" s="1509">
        <f t="shared" si="95"/>
        <v>40746.667670068913</v>
      </c>
      <c r="I165" s="1511">
        <f t="shared" si="98"/>
        <v>1285.5130332414467</v>
      </c>
      <c r="J165" s="1454">
        <f t="shared" si="131"/>
        <v>0.4</v>
      </c>
      <c r="K165" s="1512">
        <f t="shared" si="123"/>
        <v>435.08479316595498</v>
      </c>
      <c r="L165" s="1512">
        <f t="shared" si="99"/>
        <v>0</v>
      </c>
      <c r="M165" s="1511">
        <f t="shared" si="124"/>
        <v>435.08479316595498</v>
      </c>
      <c r="N165" s="1454">
        <f t="shared" si="130"/>
        <v>0.5</v>
      </c>
      <c r="O165" s="530">
        <f t="shared" si="100"/>
        <v>751.91700000000026</v>
      </c>
      <c r="P165" s="1210">
        <f t="shared" si="127"/>
        <v>1187.0017931659552</v>
      </c>
      <c r="Q165" s="1364">
        <f t="shared" si="101"/>
        <v>53247.607546426036</v>
      </c>
      <c r="R165" s="1364">
        <f t="shared" si="125"/>
        <v>39559.66587690296</v>
      </c>
      <c r="S165" s="1514">
        <f t="shared" si="102"/>
        <v>0.75385776213447309</v>
      </c>
      <c r="T165" s="135" t="str">
        <f t="shared" si="103"/>
        <v>Yes</v>
      </c>
      <c r="U165" s="1514">
        <f t="shared" si="104"/>
        <v>0.75385776213447309</v>
      </c>
      <c r="V165" s="1539">
        <f t="shared" si="96"/>
        <v>54489.103127522903</v>
      </c>
      <c r="W165" s="1540">
        <f t="shared" si="97"/>
        <v>0.42062927878451328</v>
      </c>
      <c r="X165" s="527">
        <f t="shared" si="105"/>
        <v>13687.941669523079</v>
      </c>
      <c r="Y165" s="1509">
        <f t="shared" si="106"/>
        <v>7942.5143236956574</v>
      </c>
      <c r="Z165" s="1509">
        <f t="shared" si="107"/>
        <v>4943.8418730466392</v>
      </c>
      <c r="AA165" s="1509">
        <f t="shared" si="108"/>
        <v>0</v>
      </c>
      <c r="AB165" s="1509">
        <f t="shared" si="109"/>
        <v>27914.805261257523</v>
      </c>
      <c r="AC165" s="1509">
        <f t="shared" si="110"/>
        <v>54489.103127522903</v>
      </c>
      <c r="AD165" s="1535">
        <f t="shared" si="111"/>
        <v>0</v>
      </c>
      <c r="AE165" s="1504">
        <f t="shared" si="112"/>
        <v>0.25120511962710551</v>
      </c>
      <c r="AF165" s="1504">
        <f t="shared" si="113"/>
        <v>0.1457633520799102</v>
      </c>
      <c r="AG165" s="1504">
        <f t="shared" si="114"/>
        <v>9.073083587880644E-2</v>
      </c>
      <c r="AH165" s="1504">
        <f t="shared" si="126"/>
        <v>0</v>
      </c>
      <c r="AI165" s="1504">
        <f t="shared" si="115"/>
        <v>0.51230069241417775</v>
      </c>
      <c r="AJ165" s="1541">
        <f t="shared" si="116"/>
        <v>0.99999999999999989</v>
      </c>
      <c r="AK165" s="1555">
        <f t="shared" si="117"/>
        <v>771.30781994486802</v>
      </c>
      <c r="AL165" s="1556">
        <f t="shared" si="118"/>
        <v>12186.228744503591</v>
      </c>
      <c r="AM165" s="1556">
        <f t="shared" si="119"/>
        <v>730.40510507461875</v>
      </c>
      <c r="AN165" s="1556">
        <f t="shared" si="120"/>
        <v>13687.941669523078</v>
      </c>
      <c r="AO165" s="1543">
        <f t="shared" si="121"/>
        <v>0</v>
      </c>
      <c r="AV165" s="561"/>
      <c r="AW165" s="561"/>
    </row>
    <row r="166" spans="1:49">
      <c r="A166" s="127">
        <f>'Input data'!A146</f>
        <v>2046</v>
      </c>
      <c r="B166" s="1551">
        <f>'Input data'!B146</f>
        <v>73.995362001779526</v>
      </c>
      <c r="C166" s="1550">
        <f>'Input data'!C146</f>
        <v>7937.3408756753133</v>
      </c>
      <c r="D166" s="1511">
        <f>'Input data'!D146</f>
        <v>1075389.49817775</v>
      </c>
      <c r="E166" s="527">
        <f>'Input data'!J146*C166</f>
        <v>95494.510230819331</v>
      </c>
      <c r="F166" s="1509">
        <f>'Input data'!L146</f>
        <v>96569.899728997087</v>
      </c>
      <c r="G166" s="1509">
        <f t="shared" si="132"/>
        <v>13687.941669523079</v>
      </c>
      <c r="H166" s="1509">
        <f t="shared" si="95"/>
        <v>42116.689903411301</v>
      </c>
      <c r="I166" s="1511">
        <f t="shared" si="98"/>
        <v>1075.3894981777501</v>
      </c>
      <c r="J166" s="1454">
        <f t="shared" si="131"/>
        <v>0.4</v>
      </c>
      <c r="K166" s="1512">
        <f t="shared" si="123"/>
        <v>363.96800754926898</v>
      </c>
      <c r="L166" s="1512">
        <f t="shared" si="99"/>
        <v>0</v>
      </c>
      <c r="M166" s="1511">
        <f t="shared" si="124"/>
        <v>363.96800754926898</v>
      </c>
      <c r="N166" s="1454">
        <f t="shared" si="130"/>
        <v>0.5</v>
      </c>
      <c r="O166" s="530">
        <f t="shared" si="100"/>
        <v>751.91700000000026</v>
      </c>
      <c r="P166" s="1210">
        <f t="shared" si="127"/>
        <v>1115.8850075492692</v>
      </c>
      <c r="Q166" s="1364">
        <f t="shared" si="101"/>
        <v>54688.746565385118</v>
      </c>
      <c r="R166" s="1364">
        <f t="shared" si="125"/>
        <v>41000.804895862035</v>
      </c>
      <c r="S166" s="1514">
        <f t="shared" si="102"/>
        <v>0.75866283890834152</v>
      </c>
      <c r="T166" s="135" t="str">
        <f t="shared" si="103"/>
        <v>Yes</v>
      </c>
      <c r="U166" s="1514">
        <f t="shared" si="104"/>
        <v>0.75866283890834152</v>
      </c>
      <c r="V166" s="1539">
        <f t="shared" si="96"/>
        <v>55569.094833135066</v>
      </c>
      <c r="W166" s="1540">
        <f t="shared" si="97"/>
        <v>0.42457126921454891</v>
      </c>
      <c r="X166" s="527">
        <f t="shared" si="105"/>
        <v>13687.941669523081</v>
      </c>
      <c r="Y166" s="1509">
        <f t="shared" si="106"/>
        <v>8077.1786739430172</v>
      </c>
      <c r="Z166" s="1509">
        <f t="shared" si="107"/>
        <v>5067.2658790898813</v>
      </c>
      <c r="AA166" s="1509">
        <f t="shared" si="108"/>
        <v>0</v>
      </c>
      <c r="AB166" s="1509">
        <f t="shared" si="109"/>
        <v>28736.70861057908</v>
      </c>
      <c r="AC166" s="1509">
        <f t="shared" si="110"/>
        <v>55569.094833135066</v>
      </c>
      <c r="AD166" s="1535">
        <f t="shared" si="111"/>
        <v>0</v>
      </c>
      <c r="AE166" s="1504">
        <f t="shared" si="112"/>
        <v>0.2463229194325684</v>
      </c>
      <c r="AF166" s="1504">
        <f t="shared" si="113"/>
        <v>0.14535379239480989</v>
      </c>
      <c r="AG166" s="1504">
        <f t="shared" si="114"/>
        <v>9.1188562532934087E-2</v>
      </c>
      <c r="AH166" s="1504">
        <f t="shared" si="126"/>
        <v>0</v>
      </c>
      <c r="AI166" s="1504">
        <f t="shared" si="115"/>
        <v>0.51713472563968754</v>
      </c>
      <c r="AJ166" s="1541">
        <f t="shared" si="116"/>
        <v>0.99999999999999989</v>
      </c>
      <c r="AK166" s="1555">
        <f t="shared" si="117"/>
        <v>645.23369890665003</v>
      </c>
      <c r="AL166" s="1556">
        <f t="shared" si="118"/>
        <v>12300.132863234181</v>
      </c>
      <c r="AM166" s="1556">
        <f t="shared" si="119"/>
        <v>742.57510738224892</v>
      </c>
      <c r="AN166" s="1556">
        <f t="shared" si="120"/>
        <v>13687.941669523079</v>
      </c>
      <c r="AO166" s="1543">
        <f t="shared" si="121"/>
        <v>0</v>
      </c>
      <c r="AV166" s="561"/>
      <c r="AW166" s="561"/>
    </row>
    <row r="167" spans="1:49">
      <c r="A167" s="127">
        <f>'Input data'!A147</f>
        <v>2047</v>
      </c>
      <c r="B167" s="1551">
        <f>'Input data'!B147</f>
        <v>74.373096484110363</v>
      </c>
      <c r="C167" s="1550">
        <f>'Input data'!C147</f>
        <v>8114.689906663607</v>
      </c>
      <c r="D167" s="1511">
        <f>'Input data'!D147</f>
        <v>865265.96311405371</v>
      </c>
      <c r="E167" s="527">
        <f>'Input data'!J147*C167</f>
        <v>97628.204514510595</v>
      </c>
      <c r="F167" s="1509">
        <f>'Input data'!L147</f>
        <v>98493.470477624651</v>
      </c>
      <c r="G167" s="1509">
        <f t="shared" si="132"/>
        <v>13687.941669523079</v>
      </c>
      <c r="H167" s="1509">
        <f t="shared" si="95"/>
        <v>43143.827968085869</v>
      </c>
      <c r="I167" s="1511">
        <f t="shared" si="98"/>
        <v>865.26596311405376</v>
      </c>
      <c r="J167" s="1454">
        <f t="shared" si="131"/>
        <v>0.4</v>
      </c>
      <c r="K167" s="1512">
        <f t="shared" si="123"/>
        <v>292.85122193258309</v>
      </c>
      <c r="L167" s="1512">
        <f t="shared" si="99"/>
        <v>0</v>
      </c>
      <c r="M167" s="1511">
        <f t="shared" si="124"/>
        <v>292.85122193258309</v>
      </c>
      <c r="N167" s="1454">
        <f t="shared" si="130"/>
        <v>0.5</v>
      </c>
      <c r="O167" s="530">
        <f t="shared" si="100"/>
        <v>751.91700000000026</v>
      </c>
      <c r="P167" s="1210">
        <f t="shared" si="127"/>
        <v>1044.7682219325834</v>
      </c>
      <c r="Q167" s="1364">
        <f t="shared" si="101"/>
        <v>55787.001415676365</v>
      </c>
      <c r="R167" s="1364">
        <f t="shared" si="125"/>
        <v>42099.059746153289</v>
      </c>
      <c r="S167" s="1514">
        <f t="shared" si="102"/>
        <v>0.7617279478670349</v>
      </c>
      <c r="T167" s="135" t="str">
        <f t="shared" si="103"/>
        <v>Yes</v>
      </c>
      <c r="U167" s="1514">
        <f t="shared" si="104"/>
        <v>0.7617279478670349</v>
      </c>
      <c r="V167" s="1539">
        <f t="shared" si="96"/>
        <v>56394.410731471369</v>
      </c>
      <c r="W167" s="1540">
        <f t="shared" si="97"/>
        <v>0.42742995593517208</v>
      </c>
      <c r="X167" s="527">
        <f t="shared" si="105"/>
        <v>13687.941669523076</v>
      </c>
      <c r="Y167" s="1509">
        <f t="shared" si="106"/>
        <v>8163.9915320576392</v>
      </c>
      <c r="Z167" s="1509">
        <f t="shared" si="107"/>
        <v>5163.6864504210689</v>
      </c>
      <c r="AA167" s="1509">
        <f t="shared" si="108"/>
        <v>0</v>
      </c>
      <c r="AB167" s="1509">
        <f t="shared" si="109"/>
        <v>29378.791079469585</v>
      </c>
      <c r="AC167" s="1509">
        <f t="shared" si="110"/>
        <v>56394.410731471369</v>
      </c>
      <c r="AD167" s="1535">
        <f t="shared" si="111"/>
        <v>0</v>
      </c>
      <c r="AE167" s="1504">
        <f t="shared" si="112"/>
        <v>0.24271805471467417</v>
      </c>
      <c r="AF167" s="1504">
        <f t="shared" si="113"/>
        <v>0.1447659692896065</v>
      </c>
      <c r="AG167" s="1504">
        <f t="shared" si="114"/>
        <v>9.1563798316974532E-2</v>
      </c>
      <c r="AH167" s="1504">
        <f t="shared" si="126"/>
        <v>0</v>
      </c>
      <c r="AI167" s="1504">
        <f t="shared" si="115"/>
        <v>0.5209521776787448</v>
      </c>
      <c r="AJ167" s="1541">
        <f t="shared" si="116"/>
        <v>1</v>
      </c>
      <c r="AK167" s="1555">
        <f t="shared" si="117"/>
        <v>519.15957786843228</v>
      </c>
      <c r="AL167" s="1556">
        <f t="shared" si="118"/>
        <v>12415.253874938458</v>
      </c>
      <c r="AM167" s="1556">
        <f t="shared" si="119"/>
        <v>753.52821671618051</v>
      </c>
      <c r="AN167" s="1556">
        <f t="shared" si="120"/>
        <v>13687.94166952307</v>
      </c>
      <c r="AO167" s="1543">
        <f t="shared" si="121"/>
        <v>0</v>
      </c>
      <c r="AV167" s="561"/>
      <c r="AW167" s="561"/>
    </row>
    <row r="168" spans="1:49">
      <c r="A168" s="127">
        <f>'Input data'!A148</f>
        <v>2048</v>
      </c>
      <c r="B168" s="1551">
        <f>'Input data'!B148</f>
        <v>74.752759240528661</v>
      </c>
      <c r="C168" s="1550">
        <f>'Input data'!C148</f>
        <v>8296.4877206561141</v>
      </c>
      <c r="D168" s="1511">
        <f>'Input data'!D148</f>
        <v>655142.42805035703</v>
      </c>
      <c r="E168" s="527">
        <f>'Input data'!J148*C168</f>
        <v>99815.422309509362</v>
      </c>
      <c r="F168" s="1509">
        <f>'Input data'!L148</f>
        <v>100470.56473755972</v>
      </c>
      <c r="G168" s="1509">
        <f t="shared" si="132"/>
        <v>13687.941669523079</v>
      </c>
      <c r="H168" s="1509">
        <f t="shared" si="95"/>
        <v>44201.678204622134</v>
      </c>
      <c r="I168" s="1511">
        <f t="shared" si="98"/>
        <v>655.14242805035701</v>
      </c>
      <c r="J168" s="1454">
        <f t="shared" si="131"/>
        <v>0.4</v>
      </c>
      <c r="K168" s="1512">
        <f t="shared" si="123"/>
        <v>221.734436315897</v>
      </c>
      <c r="L168" s="1512">
        <f t="shared" si="99"/>
        <v>0</v>
      </c>
      <c r="M168" s="1511">
        <f t="shared" si="124"/>
        <v>221.734436315897</v>
      </c>
      <c r="N168" s="1454">
        <f t="shared" si="130"/>
        <v>0.5</v>
      </c>
      <c r="O168" s="530">
        <f t="shared" si="100"/>
        <v>751.91700000000026</v>
      </c>
      <c r="P168" s="1210">
        <f t="shared" si="127"/>
        <v>973.65143631589729</v>
      </c>
      <c r="Q168" s="1364">
        <f t="shared" si="101"/>
        <v>56915.968437829317</v>
      </c>
      <c r="R168" s="1364">
        <f t="shared" si="125"/>
        <v>43228.026768306241</v>
      </c>
      <c r="S168" s="1514">
        <f t="shared" si="102"/>
        <v>0.76478807322757936</v>
      </c>
      <c r="T168" s="135" t="str">
        <f t="shared" si="103"/>
        <v>Yes</v>
      </c>
      <c r="U168" s="1514">
        <f t="shared" si="104"/>
        <v>0.76478807322757936</v>
      </c>
      <c r="V168" s="1539">
        <f t="shared" si="96"/>
        <v>57242.537969253484</v>
      </c>
      <c r="W168" s="1540">
        <f t="shared" si="97"/>
        <v>0.43025563637690944</v>
      </c>
      <c r="X168" s="527">
        <f t="shared" si="105"/>
        <v>13687.941669523078</v>
      </c>
      <c r="Y168" s="1509">
        <f t="shared" si="106"/>
        <v>8255.0904534685887</v>
      </c>
      <c r="Z168" s="1509">
        <f t="shared" si="107"/>
        <v>5262.5257223033932</v>
      </c>
      <c r="AA168" s="1509">
        <f t="shared" si="108"/>
        <v>0</v>
      </c>
      <c r="AB168" s="1509">
        <f t="shared" si="109"/>
        <v>30036.980123958427</v>
      </c>
      <c r="AC168" s="1509">
        <f t="shared" si="110"/>
        <v>57242.537969253484</v>
      </c>
      <c r="AD168" s="1535">
        <f t="shared" si="111"/>
        <v>0</v>
      </c>
      <c r="AE168" s="1504">
        <f t="shared" si="112"/>
        <v>0.23912185160055693</v>
      </c>
      <c r="AF168" s="1504">
        <f t="shared" si="113"/>
        <v>0.14421251653626227</v>
      </c>
      <c r="AG168" s="1504">
        <f t="shared" si="114"/>
        <v>9.1933829438695366E-2</v>
      </c>
      <c r="AH168" s="1504">
        <f t="shared" si="126"/>
        <v>0</v>
      </c>
      <c r="AI168" s="1504">
        <f t="shared" si="115"/>
        <v>0.52473180242448547</v>
      </c>
      <c r="AJ168" s="1541">
        <f t="shared" si="116"/>
        <v>1</v>
      </c>
      <c r="AK168" s="1555">
        <f t="shared" si="117"/>
        <v>393.08545683021418</v>
      </c>
      <c r="AL168" s="1556">
        <f t="shared" si="118"/>
        <v>12530.378372055246</v>
      </c>
      <c r="AM168" s="1556">
        <f t="shared" si="119"/>
        <v>764.47784063761378</v>
      </c>
      <c r="AN168" s="1556">
        <f t="shared" si="120"/>
        <v>13687.941669523074</v>
      </c>
      <c r="AO168" s="1543">
        <f t="shared" si="121"/>
        <v>0</v>
      </c>
      <c r="AV168" s="561"/>
      <c r="AW168" s="561"/>
    </row>
    <row r="169" spans="1:49">
      <c r="A169" s="127">
        <f>'Input data'!A149</f>
        <v>2049</v>
      </c>
      <c r="B169" s="662">
        <f>'Input data'!B149</f>
        <v>75.134360114565098</v>
      </c>
      <c r="C169" s="236">
        <f>'Input data'!C149</f>
        <v>8472.9909282566368</v>
      </c>
      <c r="D169" s="1511">
        <f>'Input data'!D149</f>
        <v>445018.89298666047</v>
      </c>
      <c r="E169" s="527">
        <f>'Input data'!J149*C169</f>
        <v>101938.94045343013</v>
      </c>
      <c r="F169" s="528">
        <f>'Input data'!L149</f>
        <v>102383.95934641678</v>
      </c>
      <c r="G169" s="528">
        <f t="shared" si="132"/>
        <v>13687.941669523079</v>
      </c>
      <c r="H169" s="528">
        <f t="shared" si="95"/>
        <v>45222.977127844933</v>
      </c>
      <c r="I169" s="530">
        <f t="shared" si="98"/>
        <v>445.01889298666049</v>
      </c>
      <c r="J169" s="649">
        <f t="shared" si="131"/>
        <v>0.4</v>
      </c>
      <c r="K169" s="775">
        <f t="shared" si="123"/>
        <v>150.617650699211</v>
      </c>
      <c r="L169" s="775">
        <f t="shared" si="99"/>
        <v>0</v>
      </c>
      <c r="M169" s="530">
        <f t="shared" si="124"/>
        <v>150.617650699211</v>
      </c>
      <c r="N169" s="649">
        <f t="shared" si="130"/>
        <v>0.5</v>
      </c>
      <c r="O169" s="530">
        <f t="shared" si="100"/>
        <v>751.91700000000026</v>
      </c>
      <c r="P169" s="1210">
        <f t="shared" si="127"/>
        <v>902.53465069921128</v>
      </c>
      <c r="Q169" s="1364">
        <f t="shared" si="101"/>
        <v>58008.384146668803</v>
      </c>
      <c r="R169" s="1364">
        <f t="shared" si="125"/>
        <v>44320.442477145727</v>
      </c>
      <c r="S169" s="1514">
        <f t="shared" si="102"/>
        <v>0.76756821529530794</v>
      </c>
      <c r="T169" s="135" t="str">
        <f t="shared" si="103"/>
        <v>Yes</v>
      </c>
      <c r="U169" s="1514">
        <f t="shared" si="104"/>
        <v>0.76756821529530794</v>
      </c>
      <c r="V169" s="1539">
        <f t="shared" si="96"/>
        <v>58063.516869271072</v>
      </c>
      <c r="W169" s="1540">
        <f t="shared" si="97"/>
        <v>0.43288463114800246</v>
      </c>
      <c r="X169" s="527">
        <f t="shared" si="105"/>
        <v>13687.941669523074</v>
      </c>
      <c r="Y169" s="1509">
        <f t="shared" si="106"/>
        <v>8341.0884252257347</v>
      </c>
      <c r="Z169" s="1509">
        <f t="shared" si="107"/>
        <v>5358.4864389974309</v>
      </c>
      <c r="AA169" s="1509">
        <f t="shared" si="108"/>
        <v>0</v>
      </c>
      <c r="AB169" s="1509">
        <f t="shared" si="109"/>
        <v>30676.000335524837</v>
      </c>
      <c r="AC169" s="1509">
        <f t="shared" si="110"/>
        <v>58063.516869271072</v>
      </c>
      <c r="AD169" s="1535">
        <f t="shared" si="111"/>
        <v>0</v>
      </c>
      <c r="AE169" s="1504">
        <f t="shared" si="112"/>
        <v>0.23574083017295042</v>
      </c>
      <c r="AF169" s="1504">
        <f t="shared" si="113"/>
        <v>0.14365455065364952</v>
      </c>
      <c r="AG169" s="1504">
        <f t="shared" si="114"/>
        <v>9.2286632431548429E-2</v>
      </c>
      <c r="AH169" s="1504">
        <f t="shared" si="126"/>
        <v>0</v>
      </c>
      <c r="AI169" s="1504">
        <f t="shared" si="115"/>
        <v>0.52831798674185171</v>
      </c>
      <c r="AJ169" s="1541">
        <f t="shared" si="116"/>
        <v>1</v>
      </c>
      <c r="AK169" s="1555">
        <f t="shared" si="117"/>
        <v>267.01133579199632</v>
      </c>
      <c r="AL169" s="1556">
        <f t="shared" si="118"/>
        <v>12645.698682967439</v>
      </c>
      <c r="AM169" s="1556">
        <f t="shared" si="119"/>
        <v>775.23165076363637</v>
      </c>
      <c r="AN169" s="1556">
        <f t="shared" si="120"/>
        <v>13687.941669523072</v>
      </c>
      <c r="AO169" s="1543">
        <f t="shared" si="121"/>
        <v>0</v>
      </c>
      <c r="AV169" s="561"/>
      <c r="AW169" s="561"/>
    </row>
    <row r="170" spans="1:49" ht="15.75" thickBot="1">
      <c r="A170" s="172">
        <f>'Input data'!A150</f>
        <v>2050</v>
      </c>
      <c r="B170" s="664">
        <f>'Input data'!B150</f>
        <v>75.517908999999989</v>
      </c>
      <c r="C170" s="239">
        <f>'Input data'!C150</f>
        <v>8654.8011856383091</v>
      </c>
      <c r="D170" s="1520">
        <f>'Input data'!D150</f>
        <v>234895.35792296397</v>
      </c>
      <c r="E170" s="670">
        <f>'Input data'!J150*C170</f>
        <v>104126.30795541168</v>
      </c>
      <c r="F170" s="667">
        <f>'Input data'!L150</f>
        <v>104361.20331333466</v>
      </c>
      <c r="G170" s="667">
        <f t="shared" si="132"/>
        <v>13687.941669523079</v>
      </c>
      <c r="H170" s="667">
        <f t="shared" si="95"/>
        <v>46280.913267313808</v>
      </c>
      <c r="I170" s="659">
        <f t="shared" si="98"/>
        <v>234.89535792296397</v>
      </c>
      <c r="J170" s="650">
        <f t="shared" si="131"/>
        <v>0.4</v>
      </c>
      <c r="K170" s="667">
        <f t="shared" si="123"/>
        <v>79.50086508252501</v>
      </c>
      <c r="L170" s="667">
        <f t="shared" si="99"/>
        <v>0</v>
      </c>
      <c r="M170" s="659">
        <f t="shared" si="124"/>
        <v>79.50086508252501</v>
      </c>
      <c r="N170" s="650">
        <f t="shared" si="130"/>
        <v>0.5</v>
      </c>
      <c r="O170" s="659">
        <f t="shared" si="100"/>
        <v>751.91700000000026</v>
      </c>
      <c r="P170" s="1695">
        <f t="shared" si="127"/>
        <v>831.41786508252528</v>
      </c>
      <c r="Q170" s="1485">
        <f t="shared" si="101"/>
        <v>59137.437071754357</v>
      </c>
      <c r="R170" s="1485">
        <f t="shared" si="125"/>
        <v>45449.495402231274</v>
      </c>
      <c r="S170" s="1523">
        <f t="shared" si="102"/>
        <v>0.77037613269252614</v>
      </c>
      <c r="T170" s="1105" t="str">
        <f t="shared" si="103"/>
        <v>Yes</v>
      </c>
      <c r="U170" s="1523">
        <f t="shared" si="104"/>
        <v>0.77037613269252614</v>
      </c>
      <c r="V170" s="1544">
        <f t="shared" si="96"/>
        <v>58911.707911103389</v>
      </c>
      <c r="W170" s="1545">
        <f t="shared" si="97"/>
        <v>0.43550183362464157</v>
      </c>
      <c r="X170" s="670">
        <f t="shared" si="105"/>
        <v>13687.941669523079</v>
      </c>
      <c r="Y170" s="1518">
        <f t="shared" si="106"/>
        <v>8432.1993348935939</v>
      </c>
      <c r="Z170" s="1518">
        <f t="shared" si="107"/>
        <v>5457.3324760629976</v>
      </c>
      <c r="AA170" s="1518">
        <f t="shared" si="108"/>
        <v>0</v>
      </c>
      <c r="AB170" s="1518">
        <f t="shared" si="109"/>
        <v>31334.234430623717</v>
      </c>
      <c r="AC170" s="1518">
        <f t="shared" si="110"/>
        <v>58911.707911103389</v>
      </c>
      <c r="AD170" s="1546">
        <f t="shared" si="111"/>
        <v>0</v>
      </c>
      <c r="AE170" s="1521">
        <f t="shared" si="112"/>
        <v>0.23234671264628612</v>
      </c>
      <c r="AF170" s="1521">
        <f t="shared" si="113"/>
        <v>0.14313282764807322</v>
      </c>
      <c r="AG170" s="1521">
        <f t="shared" si="114"/>
        <v>9.263578785218729E-2</v>
      </c>
      <c r="AH170" s="1521">
        <f t="shared" si="126"/>
        <v>0</v>
      </c>
      <c r="AI170" s="1521">
        <f>AB170/AC170</f>
        <v>0.53188467185345334</v>
      </c>
      <c r="AJ170" s="1547">
        <f t="shared" si="116"/>
        <v>1</v>
      </c>
      <c r="AK170" s="1639">
        <f t="shared" si="117"/>
        <v>140.93721475377839</v>
      </c>
      <c r="AL170" s="1640">
        <f t="shared" si="118"/>
        <v>12760.999568460958</v>
      </c>
      <c r="AM170" s="1640">
        <f t="shared" si="119"/>
        <v>786.00488630833911</v>
      </c>
      <c r="AN170" s="1640">
        <f t="shared" si="120"/>
        <v>13687.941669523076</v>
      </c>
      <c r="AO170" s="1548">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23" t="s">
        <v>602</v>
      </c>
      <c r="B174" s="1824"/>
      <c r="C174" s="1824"/>
      <c r="D174" s="1825"/>
      <c r="E174" s="1826" t="s">
        <v>603</v>
      </c>
      <c r="F174" s="1827"/>
      <c r="G174" s="1827"/>
      <c r="H174" s="1827"/>
      <c r="I174" s="1828"/>
      <c r="J174" s="1829" t="s">
        <v>604</v>
      </c>
      <c r="K174" s="1830"/>
      <c r="L174" s="1831"/>
      <c r="M174" s="1832" t="s">
        <v>764</v>
      </c>
      <c r="N174" s="1834" t="s">
        <v>607</v>
      </c>
      <c r="O174" s="1835"/>
      <c r="P174" s="1813" t="s">
        <v>594</v>
      </c>
      <c r="Q174" s="1815" t="s">
        <v>772</v>
      </c>
      <c r="R174" s="1815" t="s">
        <v>775</v>
      </c>
      <c r="S174" s="1815" t="s">
        <v>774</v>
      </c>
      <c r="T174" s="1847" t="s">
        <v>776</v>
      </c>
      <c r="U174" s="1880" t="s">
        <v>777</v>
      </c>
      <c r="V174" s="1817" t="s">
        <v>767</v>
      </c>
      <c r="W174" s="1819" t="s">
        <v>768</v>
      </c>
      <c r="X174" s="1914" t="s">
        <v>592</v>
      </c>
      <c r="Y174" s="1884"/>
      <c r="Z174" s="1884"/>
      <c r="AA174" s="1884"/>
      <c r="AB174" s="1884"/>
      <c r="AC174" s="1884"/>
      <c r="AD174" s="1884"/>
      <c r="AE174" s="1884"/>
      <c r="AF174" s="1884"/>
      <c r="AG174" s="1884"/>
      <c r="AH174" s="1884"/>
      <c r="AI174" s="1884"/>
      <c r="AJ174" s="1884"/>
      <c r="AK174" s="1928" t="s">
        <v>730</v>
      </c>
      <c r="AL174" s="1929"/>
      <c r="AM174" s="1929"/>
      <c r="AN174" s="1929"/>
      <c r="AO174" s="1930"/>
    </row>
    <row r="175" spans="1:49" ht="37.9" customHeight="1">
      <c r="A175" s="1821" t="s">
        <v>217</v>
      </c>
      <c r="B175" s="703" t="s">
        <v>218</v>
      </c>
      <c r="C175" s="703" t="s">
        <v>390</v>
      </c>
      <c r="D175" s="469" t="s">
        <v>630</v>
      </c>
      <c r="E175" s="704" t="s">
        <v>786</v>
      </c>
      <c r="F175" s="704" t="s">
        <v>787</v>
      </c>
      <c r="G175" s="704" t="s">
        <v>771</v>
      </c>
      <c r="H175" s="705" t="s">
        <v>597</v>
      </c>
      <c r="I175" s="705" t="s">
        <v>626</v>
      </c>
      <c r="J175" s="1461" t="s">
        <v>326</v>
      </c>
      <c r="K175" s="1461" t="s">
        <v>765</v>
      </c>
      <c r="L175" s="706" t="s">
        <v>766</v>
      </c>
      <c r="M175" s="1833"/>
      <c r="N175" s="508" t="s">
        <v>605</v>
      </c>
      <c r="O175" s="559" t="s">
        <v>606</v>
      </c>
      <c r="P175" s="1814"/>
      <c r="Q175" s="1816"/>
      <c r="R175" s="1816"/>
      <c r="S175" s="1816"/>
      <c r="T175" s="1848"/>
      <c r="U175" s="1881"/>
      <c r="V175" s="1818"/>
      <c r="W175" s="1820"/>
      <c r="X175" s="1464" t="s">
        <v>473</v>
      </c>
      <c r="Y175" s="1465" t="s">
        <v>489</v>
      </c>
      <c r="Z175" s="1636" t="s">
        <v>814</v>
      </c>
      <c r="AA175" s="1465" t="s">
        <v>377</v>
      </c>
      <c r="AB175" s="1465" t="s">
        <v>477</v>
      </c>
      <c r="AC175" s="1465" t="s">
        <v>225</v>
      </c>
      <c r="AD175" s="713" t="s">
        <v>617</v>
      </c>
      <c r="AE175" s="1092" t="s">
        <v>473</v>
      </c>
      <c r="AF175" s="1465" t="s">
        <v>489</v>
      </c>
      <c r="AG175" s="1636" t="s">
        <v>814</v>
      </c>
      <c r="AH175" s="1465" t="s">
        <v>377</v>
      </c>
      <c r="AI175" s="1465" t="s">
        <v>477</v>
      </c>
      <c r="AJ175" s="718" t="s">
        <v>225</v>
      </c>
      <c r="AK175" s="189" t="s">
        <v>731</v>
      </c>
      <c r="AL175" s="712" t="s">
        <v>493</v>
      </c>
      <c r="AM175" s="712" t="s">
        <v>732</v>
      </c>
      <c r="AN175" s="712" t="s">
        <v>225</v>
      </c>
      <c r="AO175" s="1183" t="s">
        <v>617</v>
      </c>
    </row>
    <row r="176" spans="1:49" ht="36" customHeight="1" thickBot="1">
      <c r="A176" s="1822"/>
      <c r="B176" s="1124" t="s">
        <v>232</v>
      </c>
      <c r="C176" s="1125" t="s">
        <v>482</v>
      </c>
      <c r="D176" s="1126" t="s">
        <v>480</v>
      </c>
      <c r="E176" s="1127" t="s">
        <v>228</v>
      </c>
      <c r="F176" s="1127" t="s">
        <v>228</v>
      </c>
      <c r="G176" s="1127" t="s">
        <v>228</v>
      </c>
      <c r="H176" s="1479" t="str">
        <f>G176</f>
        <v>Gg</v>
      </c>
      <c r="I176" s="1127" t="s">
        <v>228</v>
      </c>
      <c r="J176" s="707" t="s">
        <v>229</v>
      </c>
      <c r="K176" s="1114" t="s">
        <v>228</v>
      </c>
      <c r="L176" s="1114" t="s">
        <v>228</v>
      </c>
      <c r="M176" s="1114" t="s">
        <v>228</v>
      </c>
      <c r="N176" s="688" t="s">
        <v>229</v>
      </c>
      <c r="O176" s="690" t="s">
        <v>228</v>
      </c>
      <c r="P176" s="1115" t="s">
        <v>228</v>
      </c>
      <c r="Q176" s="1116" t="s">
        <v>228</v>
      </c>
      <c r="R176" s="1116" t="s">
        <v>228</v>
      </c>
      <c r="S176" s="1117" t="s">
        <v>28</v>
      </c>
      <c r="T176" s="1848"/>
      <c r="U176" s="1117" t="s">
        <v>28</v>
      </c>
      <c r="V176" s="1116" t="s">
        <v>228</v>
      </c>
      <c r="W176" s="1496"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3117.5115237718705</v>
      </c>
      <c r="D177" s="1503">
        <f>'Input data'!E117</f>
        <v>49995051</v>
      </c>
      <c r="E177" s="956">
        <f>'Input data'!J117*C177</f>
        <v>37506.923384615395</v>
      </c>
      <c r="F177" s="957">
        <f>'Input data'!L117</f>
        <v>87501.974384615402</v>
      </c>
      <c r="G177" s="1373">
        <f>F177*B11</f>
        <v>68439.708347615408</v>
      </c>
      <c r="H177" s="1502">
        <f t="shared" ref="H177" si="133">E177*$B$12+I177*$E$80-G177</f>
        <v>0</v>
      </c>
      <c r="I177" s="1503">
        <f>D177/1000</f>
        <v>49995.050999999999</v>
      </c>
      <c r="J177" s="417">
        <f>H17</f>
        <v>6.154773859516615E-2</v>
      </c>
      <c r="K177" s="1501">
        <f>(I177)*J177-(I177)*$J$137</f>
        <v>0</v>
      </c>
      <c r="L177" s="1501">
        <f>(E177)*$C$12*$G$12-(E177)*$C$12*$G$12</f>
        <v>0</v>
      </c>
      <c r="M177" s="1503">
        <f>L177+K177</f>
        <v>0</v>
      </c>
      <c r="N177" s="708">
        <v>0</v>
      </c>
      <c r="O177" s="1467">
        <f>N177*$E$177*($C$85)*$B$12</f>
        <v>0</v>
      </c>
      <c r="P177" s="1694">
        <f>O177+M177</f>
        <v>0</v>
      </c>
      <c r="Q177" s="1484">
        <f>E177*$B$12+(1-$J$137)*I177-P177</f>
        <v>68439.708347615408</v>
      </c>
      <c r="R177" s="1484">
        <f>Q177-G177</f>
        <v>0</v>
      </c>
      <c r="S177" s="1218">
        <f>R177/(Q177-I177*(1-J177))</f>
        <v>0</v>
      </c>
      <c r="T177" s="1489" t="str">
        <f>IF(AND(S177&gt;=0,S177&lt;=1),"Yes","No")</f>
        <v>Yes</v>
      </c>
      <c r="U177" s="1524">
        <f>IF(S177&lt;=0,0,IF(S177&gt;=1,1,S177))</f>
        <v>0</v>
      </c>
      <c r="V177" s="1493">
        <f t="shared" ref="V177:V210" si="134">AC177</f>
        <v>87501.974384615402</v>
      </c>
      <c r="W177" s="1525">
        <f t="shared" ref="W177:W210" si="135">(1-V177/F177)</f>
        <v>0</v>
      </c>
      <c r="X177" s="527">
        <f>(E177*$B$12-O177-L177)*(1-U177)+I177*(1-J177)</f>
        <v>68439.708347615408</v>
      </c>
      <c r="Y177" s="1501">
        <f>I177*J177+E177*$G$12*$C$12</f>
        <v>6080.5670370000007</v>
      </c>
      <c r="Z177" s="1531">
        <f>($C$12*$H$12*E177+O177)</f>
        <v>1694.9190000000001</v>
      </c>
      <c r="AA177" s="1531">
        <f>$F$137*$D$11</f>
        <v>0</v>
      </c>
      <c r="AB177" s="1531">
        <f>E177*$E$12</f>
        <v>11286.78</v>
      </c>
      <c r="AC177" s="1531">
        <f>SUM(X177:AB177)</f>
        <v>87501.974384615402</v>
      </c>
      <c r="AD177" s="1487">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7">
        <f>I177*(1-$J$177)-K177</f>
        <v>46917.968670000002</v>
      </c>
      <c r="AL177" s="1498">
        <f>(E177*$C$86*$B$12-L177)*(1-U177)</f>
        <v>20017.905677615392</v>
      </c>
      <c r="AM177" s="1498">
        <f>(E177*($C$85)*$B$12-O177)*(1-U177)</f>
        <v>1503.8340000000005</v>
      </c>
      <c r="AN177" s="1498">
        <f>SUM(AK177:AM177)</f>
        <v>68439.708347615393</v>
      </c>
      <c r="AO177" s="1184">
        <f>AN177-X177</f>
        <v>0</v>
      </c>
    </row>
    <row r="178" spans="1:41">
      <c r="A178" s="127">
        <f>'Input data'!A118</f>
        <v>2018</v>
      </c>
      <c r="B178" s="662">
        <f>'Input data'!B118</f>
        <v>57.436000617299655</v>
      </c>
      <c r="C178" s="236">
        <f>'Input data'!C118</f>
        <v>3154.0370052724184</v>
      </c>
      <c r="D178" s="1511">
        <f>'Input data'!E118</f>
        <v>50359792.847133137</v>
      </c>
      <c r="E178" s="527">
        <f>'Input data'!J118*C178</f>
        <v>37946.363119089809</v>
      </c>
      <c r="F178" s="528">
        <f>'Input data'!L118</f>
        <v>88306.155966222956</v>
      </c>
      <c r="G178" s="938">
        <f>G177*0.94</f>
        <v>64333.325846758482</v>
      </c>
      <c r="H178" s="1509">
        <f>E178*$B$12+I178*$E$80-G178</f>
        <v>4700.8289604658348</v>
      </c>
      <c r="I178" s="1511">
        <f t="shared" ref="I178:I210" si="136">D178/1000</f>
        <v>50359.79284713314</v>
      </c>
      <c r="J178" s="649">
        <f>($J$190-$J$177)/($A$190-$A$177)+J177</f>
        <v>8.7582527933999524E-2</v>
      </c>
      <c r="K178" s="1512">
        <f>(I178)*J178-(I178)*$J$137</f>
        <v>1311.106597922399</v>
      </c>
      <c r="L178" s="1512">
        <f t="shared" ref="L178:L210" si="137">(E178)*$C$12*$G$12-(E178)*$C$12*$G$12</f>
        <v>0</v>
      </c>
      <c r="M178" s="1511">
        <f>L178+K178</f>
        <v>1311.106597922399</v>
      </c>
      <c r="N178" s="649">
        <v>0.05</v>
      </c>
      <c r="O178" s="530">
        <f t="shared" ref="O178:O210" si="138">N178*$E$177*($C$85)*$B$12</f>
        <v>75.191700000000026</v>
      </c>
      <c r="P178" s="1210">
        <f>O178+M178</f>
        <v>1386.2982979223991</v>
      </c>
      <c r="Q178" s="1364">
        <f t="shared" ref="Q178:Q210" si="139">E178*$B$12+(1-$J$137)*I178-P178</f>
        <v>67647.856509301913</v>
      </c>
      <c r="R178" s="1364">
        <f>Q178-G178</f>
        <v>3314.5306625434314</v>
      </c>
      <c r="S178" s="576">
        <f t="shared" ref="S178:S210" si="140">R178/(Q178-I178*(1-J178))</f>
        <v>0.15275248812947445</v>
      </c>
      <c r="T178" s="135" t="str">
        <f t="shared" ref="T178:T210" si="141">IF(AND(S178&gt;=0,S178&lt;=1),"Yes","No")</f>
        <v>Yes</v>
      </c>
      <c r="U178" s="1526">
        <f t="shared" ref="U178:U210" si="142">IF(S178&lt;=0,0,IF(S178&gt;=1,1,S178))</f>
        <v>0.15275248812947445</v>
      </c>
      <c r="V178" s="1494">
        <f t="shared" si="134"/>
        <v>84991.625303679524</v>
      </c>
      <c r="W178" s="1527">
        <f t="shared" si="135"/>
        <v>3.7534536819961217E-2</v>
      </c>
      <c r="X178" s="527">
        <f t="shared" ref="X178:X210" si="143">(E178*$B$12-O178-L178)*(1-U178)+I178*(1-J178)</f>
        <v>64333.325846758482</v>
      </c>
      <c r="Y178" s="1509">
        <f t="shared" ref="Y178:Y210" si="144">I178*J178+E178*$G$12*$C$12</f>
        <v>7449.3121878932852</v>
      </c>
      <c r="Z178" s="1531">
        <f t="shared" ref="Z178:Z210" si="145">($C$12*$H$12*E178+O178)</f>
        <v>1789.9687605419947</v>
      </c>
      <c r="AA178" s="1531">
        <f t="shared" ref="AA178:AA210" si="146">$F$137*$D$11</f>
        <v>0</v>
      </c>
      <c r="AB178" s="1531">
        <f t="shared" ref="AB178:AB210" si="147">E178*$E$12</f>
        <v>11419.018508485759</v>
      </c>
      <c r="AC178" s="1531">
        <f t="shared" ref="AC178:AC210" si="148">SUM(X178:AB178)</f>
        <v>84991.625303679524</v>
      </c>
      <c r="AD178" s="1487">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7">
        <f t="shared" ref="AK178:AK210" si="155">I178*(1-$J$177)-K178</f>
        <v>45949.154883348674</v>
      </c>
      <c r="AL178" s="1498">
        <f t="shared" ref="AL178:AL210" si="156">(E178*$C$86*$B$12-L178)*(1-U178)</f>
        <v>17158.829451148249</v>
      </c>
      <c r="AM178" s="1498">
        <f t="shared" ref="AM178:AM210" si="157">(E178*($C$85)*$B$12-O178)*(1-U178)</f>
        <v>1225.3415122615597</v>
      </c>
      <c r="AN178" s="1498">
        <f t="shared" ref="AN178:AN210" si="158">SUM(AK178:AM178)</f>
        <v>64333.325846758489</v>
      </c>
      <c r="AO178" s="1184">
        <f t="shared" ref="AO178:AO210" si="159">AN178-X178</f>
        <v>0</v>
      </c>
    </row>
    <row r="179" spans="1:41">
      <c r="A179" s="873">
        <f>'Input data'!A119</f>
        <v>2019</v>
      </c>
      <c r="B179" s="1551">
        <f>'Input data'!B119</f>
        <v>58.364834921819444</v>
      </c>
      <c r="C179" s="1550">
        <f>'Input data'!C119</f>
        <v>4454.6933079776372</v>
      </c>
      <c r="D179" s="1511">
        <f>'Input data'!E119</f>
        <v>53709279.804327965</v>
      </c>
      <c r="E179" s="1508">
        <f>'Input data'!J119*C179</f>
        <v>53594.618441738487</v>
      </c>
      <c r="F179" s="1509">
        <f>'Input data'!L119</f>
        <v>107303.89824606644</v>
      </c>
      <c r="G179" s="1557">
        <f>G177*0.89</f>
        <v>60911.340429377713</v>
      </c>
      <c r="H179" s="1509">
        <f t="shared" ref="H179:H210" si="160">E179*$B$12+I179*$E$80-G179</f>
        <v>20245.228303009062</v>
      </c>
      <c r="I179" s="1511">
        <f t="shared" si="136"/>
        <v>53709.279804327962</v>
      </c>
      <c r="J179" s="1454">
        <f t="shared" ref="J179:J189" si="161">($J$190-$J$177)/($A$190-$A$177)+J178</f>
        <v>0.11361731727283289</v>
      </c>
      <c r="K179" s="1512">
        <f t="shared" ref="K179:K210" si="162">(I179)*J179-(I179)*$J$137</f>
        <v>2796.619570492272</v>
      </c>
      <c r="L179" s="1512">
        <f t="shared" si="137"/>
        <v>0</v>
      </c>
      <c r="M179" s="1511">
        <f t="shared" ref="M179:M210" si="163">L179+K179</f>
        <v>2796.619570492272</v>
      </c>
      <c r="N179" s="1454">
        <v>0.1</v>
      </c>
      <c r="O179" s="530">
        <f t="shared" si="138"/>
        <v>150.38340000000005</v>
      </c>
      <c r="P179" s="1210">
        <f>O179+M179</f>
        <v>2947.0029704922722</v>
      </c>
      <c r="Q179" s="1364">
        <f t="shared" si="139"/>
        <v>78209.565761894497</v>
      </c>
      <c r="R179" s="1364">
        <f t="shared" ref="R179:R210" si="164">Q179-G179</f>
        <v>17298.225332516784</v>
      </c>
      <c r="S179" s="576">
        <f t="shared" si="140"/>
        <v>0.5652536336289522</v>
      </c>
      <c r="T179" s="135" t="str">
        <f t="shared" si="141"/>
        <v>Yes</v>
      </c>
      <c r="U179" s="1526">
        <f t="shared" si="142"/>
        <v>0.5652536336289522</v>
      </c>
      <c r="V179" s="1494">
        <f t="shared" si="134"/>
        <v>90005.672913549672</v>
      </c>
      <c r="W179" s="1527">
        <f t="shared" si="135"/>
        <v>0.16120779967237486</v>
      </c>
      <c r="X179" s="527">
        <f t="shared" si="143"/>
        <v>60911.340429377713</v>
      </c>
      <c r="Y179" s="1509">
        <f t="shared" si="144"/>
        <v>10394.061707488836</v>
      </c>
      <c r="Z179" s="1531">
        <f t="shared" si="145"/>
        <v>2572.2972467623063</v>
      </c>
      <c r="AA179" s="1531">
        <f t="shared" si="146"/>
        <v>0</v>
      </c>
      <c r="AB179" s="1531">
        <f t="shared" si="147"/>
        <v>16127.973529920817</v>
      </c>
      <c r="AC179" s="1531">
        <f t="shared" si="148"/>
        <v>90005.672913549672</v>
      </c>
      <c r="AD179" s="1487">
        <f t="shared" si="149"/>
        <v>0</v>
      </c>
      <c r="AE179" s="649">
        <f t="shared" si="150"/>
        <v>0.67675001427835524</v>
      </c>
      <c r="AF179" s="417">
        <f t="shared" si="151"/>
        <v>0.11548229540456098</v>
      </c>
      <c r="AG179" s="417">
        <f t="shared" si="152"/>
        <v>2.8579279099807346E-2</v>
      </c>
      <c r="AH179" s="417">
        <f t="shared" ref="AH179:AH210" si="165">AA179/AC179</f>
        <v>0</v>
      </c>
      <c r="AI179" s="417">
        <f t="shared" si="153"/>
        <v>0.17918841121727644</v>
      </c>
      <c r="AJ179" s="417">
        <f t="shared" si="154"/>
        <v>1</v>
      </c>
      <c r="AK179" s="1497">
        <f t="shared" si="155"/>
        <v>47606.975520304273</v>
      </c>
      <c r="AL179" s="1498">
        <f t="shared" si="156"/>
        <v>12435.531199729867</v>
      </c>
      <c r="AM179" s="1498">
        <f t="shared" si="157"/>
        <v>868.83370934356458</v>
      </c>
      <c r="AN179" s="1498">
        <f t="shared" si="158"/>
        <v>60911.340429377706</v>
      </c>
      <c r="AO179" s="1184">
        <f t="shared" si="159"/>
        <v>0</v>
      </c>
    </row>
    <row r="180" spans="1:41">
      <c r="A180" s="873">
        <f>'Input data'!A120</f>
        <v>2020</v>
      </c>
      <c r="B180" s="1551">
        <f>'Input data'!B120</f>
        <v>59.308690000000006</v>
      </c>
      <c r="C180" s="1550">
        <f>'Input data'!C120</f>
        <v>4168.5687090306074</v>
      </c>
      <c r="D180" s="1511">
        <f>'Input data'!E120</f>
        <v>50685422.165534832</v>
      </c>
      <c r="E180" s="1508">
        <f>'Input data'!J120*C180</f>
        <v>50152.240336853138</v>
      </c>
      <c r="F180" s="1509">
        <f>'Input data'!L120</f>
        <v>100837.66250238798</v>
      </c>
      <c r="G180" s="1557">
        <f>G177*0.81</f>
        <v>55436.163761568481</v>
      </c>
      <c r="H180" s="1509">
        <f t="shared" si="160"/>
        <v>20907.397866108098</v>
      </c>
      <c r="I180" s="1511">
        <f t="shared" si="136"/>
        <v>50685.42216553483</v>
      </c>
      <c r="J180" s="1454">
        <f t="shared" si="161"/>
        <v>0.13965210661166627</v>
      </c>
      <c r="K180" s="1512">
        <f>(I180)*J180-(I180)*$J$177</f>
        <v>3958.7528658886044</v>
      </c>
      <c r="L180" s="1512">
        <f t="shared" si="137"/>
        <v>0</v>
      </c>
      <c r="M180" s="1511">
        <f t="shared" si="163"/>
        <v>3958.7528658886044</v>
      </c>
      <c r="N180" s="1454">
        <f>($N$142-$N$137)/($A$102-$A$97)+N179</f>
        <v>0.2</v>
      </c>
      <c r="O180" s="530">
        <f t="shared" si="138"/>
        <v>300.7668000000001</v>
      </c>
      <c r="P180" s="1210">
        <f t="shared" ref="P180:P210" si="166">O180+M180</f>
        <v>4259.5196658886043</v>
      </c>
      <c r="Q180" s="1364">
        <f t="shared" si="139"/>
        <v>72084.041961787982</v>
      </c>
      <c r="R180" s="1364">
        <f t="shared" si="164"/>
        <v>16647.8782002195</v>
      </c>
      <c r="S180" s="576">
        <f>R180/(Q180-I180*(1-J180))</f>
        <v>0.58460897917464583</v>
      </c>
      <c r="T180" s="135" t="str">
        <f t="shared" si="141"/>
        <v>Yes</v>
      </c>
      <c r="U180" s="1526">
        <f>IF(S180&lt;=0,0,IF(S180&gt;=1,1,S180))</f>
        <v>0.58460897917464583</v>
      </c>
      <c r="V180" s="1494">
        <f>AC180</f>
        <v>84189.784302168482</v>
      </c>
      <c r="W180" s="1527">
        <f t="shared" si="135"/>
        <v>0.1650958360902629</v>
      </c>
      <c r="X180" s="527">
        <f>(E180*$B$12-O180-L180)*(1-U180)+I180*(1-J180)</f>
        <v>55436.163761568474</v>
      </c>
      <c r="Y180" s="1509">
        <f t="shared" si="144"/>
        <v>11094.424163415901</v>
      </c>
      <c r="Z180" s="1531">
        <f t="shared" si="145"/>
        <v>2567.1213118810192</v>
      </c>
      <c r="AA180" s="1531">
        <f t="shared" si="146"/>
        <v>0</v>
      </c>
      <c r="AB180" s="1531">
        <f>E180*$E$12</f>
        <v>15092.075065303088</v>
      </c>
      <c r="AC180" s="1531">
        <f>SUM(X180:AB180)</f>
        <v>84189.784302168482</v>
      </c>
      <c r="AD180" s="1487">
        <f t="shared" si="149"/>
        <v>0</v>
      </c>
      <c r="AE180" s="649">
        <f t="shared" si="150"/>
        <v>0.65846663251447002</v>
      </c>
      <c r="AF180" s="417">
        <f t="shared" si="151"/>
        <v>0.13177874554941865</v>
      </c>
      <c r="AG180" s="417">
        <f t="shared" si="152"/>
        <v>3.0492076124904594E-2</v>
      </c>
      <c r="AH180" s="417">
        <f t="shared" si="165"/>
        <v>0</v>
      </c>
      <c r="AI180" s="417">
        <f t="shared" si="153"/>
        <v>0.17926254581120671</v>
      </c>
      <c r="AJ180" s="417">
        <f t="shared" si="154"/>
        <v>1</v>
      </c>
      <c r="AK180" s="1497">
        <f t="shared" si="155"/>
        <v>43607.096185616247</v>
      </c>
      <c r="AL180" s="1498">
        <f t="shared" si="156"/>
        <v>11118.716060892888</v>
      </c>
      <c r="AM180" s="1498">
        <f t="shared" si="157"/>
        <v>710.35151505933902</v>
      </c>
      <c r="AN180" s="1498">
        <f t="shared" si="158"/>
        <v>55436.163761568474</v>
      </c>
      <c r="AO180" s="1184">
        <f t="shared" si="159"/>
        <v>0</v>
      </c>
    </row>
    <row r="181" spans="1:41">
      <c r="A181" s="873">
        <f>'Input data'!A121</f>
        <v>2021</v>
      </c>
      <c r="B181" s="1551">
        <f>'Input data'!B121</f>
        <v>59.991580449204264</v>
      </c>
      <c r="C181" s="1550">
        <f>'Input data'!C121</f>
        <v>4297.0962474291</v>
      </c>
      <c r="D181" s="1511">
        <f>'Input data'!E121</f>
        <v>50618072.007836998</v>
      </c>
      <c r="E181" s="1508">
        <f>'Input data'!J121*C181</f>
        <v>51698.561015627391</v>
      </c>
      <c r="F181" s="1509">
        <f>'Input data'!L121</f>
        <v>102316.63302346438</v>
      </c>
      <c r="G181" s="1557">
        <f>G177*0.65</f>
        <v>44485.810425950018</v>
      </c>
      <c r="H181" s="1509">
        <f t="shared" si="160"/>
        <v>32681.836108810101</v>
      </c>
      <c r="I181" s="1511">
        <f t="shared" si="136"/>
        <v>50618.072007837</v>
      </c>
      <c r="J181" s="1454">
        <f t="shared" si="161"/>
        <v>0.16568689595049965</v>
      </c>
      <c r="K181" s="1512">
        <f t="shared" si="162"/>
        <v>5271.3233658477393</v>
      </c>
      <c r="L181" s="1512">
        <f t="shared" si="137"/>
        <v>0</v>
      </c>
      <c r="M181" s="1511">
        <f t="shared" si="163"/>
        <v>5271.3233658477393</v>
      </c>
      <c r="N181" s="1454">
        <v>0.4</v>
      </c>
      <c r="O181" s="530">
        <f t="shared" si="138"/>
        <v>601.53360000000021</v>
      </c>
      <c r="P181" s="1210">
        <f t="shared" si="166"/>
        <v>5872.856965847739</v>
      </c>
      <c r="Q181" s="1364">
        <f t="shared" si="139"/>
        <v>71294.789568912383</v>
      </c>
      <c r="R181" s="1364">
        <f t="shared" si="164"/>
        <v>26808.979142962366</v>
      </c>
      <c r="S181" s="576">
        <f t="shared" si="140"/>
        <v>0.92242874846431089</v>
      </c>
      <c r="T181" s="135" t="str">
        <f t="shared" si="141"/>
        <v>Yes</v>
      </c>
      <c r="U181" s="1526">
        <f t="shared" si="142"/>
        <v>0.92242874846431089</v>
      </c>
      <c r="V181" s="1494">
        <f t="shared" si="134"/>
        <v>75507.653880502039</v>
      </c>
      <c r="W181" s="1527">
        <f t="shared" si="135"/>
        <v>0.26201975525146737</v>
      </c>
      <c r="X181" s="527">
        <f t="shared" si="143"/>
        <v>44485.810425950018</v>
      </c>
      <c r="Y181" s="1509">
        <f t="shared" si="144"/>
        <v>12526.675899139518</v>
      </c>
      <c r="Z181" s="1531">
        <f t="shared" si="145"/>
        <v>2937.7655654826231</v>
      </c>
      <c r="AA181" s="1531">
        <f t="shared" si="146"/>
        <v>0</v>
      </c>
      <c r="AB181" s="1531">
        <f t="shared" si="147"/>
        <v>15557.401989929876</v>
      </c>
      <c r="AC181" s="1531">
        <f t="shared" si="148"/>
        <v>75507.653880502039</v>
      </c>
      <c r="AD181" s="1005">
        <f t="shared" si="149"/>
        <v>0</v>
      </c>
      <c r="AE181" s="649">
        <f t="shared" si="150"/>
        <v>0.58915630588063295</v>
      </c>
      <c r="AF181" s="417">
        <f t="shared" si="151"/>
        <v>0.16589941887168366</v>
      </c>
      <c r="AG181" s="417">
        <f t="shared" si="152"/>
        <v>3.8906857974052717E-2</v>
      </c>
      <c r="AH181" s="417">
        <f t="shared" si="165"/>
        <v>0</v>
      </c>
      <c r="AI181" s="417">
        <f t="shared" si="153"/>
        <v>0.20603741727363067</v>
      </c>
      <c r="AJ181" s="417">
        <f t="shared" si="154"/>
        <v>1</v>
      </c>
      <c r="AK181" s="1497">
        <f t="shared" si="155"/>
        <v>42231.320777859612</v>
      </c>
      <c r="AL181" s="1498">
        <f t="shared" si="156"/>
        <v>2140.3581499506654</v>
      </c>
      <c r="AM181" s="1498">
        <f t="shared" si="157"/>
        <v>114.13149813973843</v>
      </c>
      <c r="AN181" s="1498">
        <f t="shared" si="158"/>
        <v>44485.810425950018</v>
      </c>
      <c r="AO181" s="1184">
        <f t="shared" si="159"/>
        <v>0</v>
      </c>
    </row>
    <row r="182" spans="1:41">
      <c r="A182" s="873">
        <f>'Input data'!A122</f>
        <v>2022</v>
      </c>
      <c r="B182" s="1551">
        <f>'Input data'!B122</f>
        <v>60.682333816399378</v>
      </c>
      <c r="C182" s="1550">
        <f>'Input data'!C122</f>
        <v>4398.6096135141943</v>
      </c>
      <c r="D182" s="1511">
        <f>'Input data'!E122</f>
        <v>50359792.847133137</v>
      </c>
      <c r="E182" s="1508">
        <f>'Input data'!J122*C182</f>
        <v>52919.872954728555</v>
      </c>
      <c r="F182" s="1509">
        <f>'Input data'!L122</f>
        <v>103279.6658018617</v>
      </c>
      <c r="G182" s="1557">
        <f>G177*(1-E4)</f>
        <v>34219.854173807704</v>
      </c>
      <c r="H182" s="1509">
        <f t="shared" si="160"/>
        <v>43406.207184595216</v>
      </c>
      <c r="I182" s="1511">
        <f t="shared" si="136"/>
        <v>50359.79284713314</v>
      </c>
      <c r="J182" s="1454">
        <f t="shared" si="161"/>
        <v>0.19172168528933303</v>
      </c>
      <c r="K182" s="1512">
        <f t="shared" si="162"/>
        <v>6555.5329896119965</v>
      </c>
      <c r="L182" s="1512">
        <f t="shared" si="137"/>
        <v>0</v>
      </c>
      <c r="M182" s="1511">
        <f t="shared" si="163"/>
        <v>6555.5329896119965</v>
      </c>
      <c r="N182" s="1454">
        <f>$E$26</f>
        <v>0.5</v>
      </c>
      <c r="O182" s="530">
        <f t="shared" si="138"/>
        <v>751.91700000000026</v>
      </c>
      <c r="P182" s="1210">
        <f t="shared" si="166"/>
        <v>7307.4499896119969</v>
      </c>
      <c r="Q182" s="1364">
        <f t="shared" si="139"/>
        <v>70318.611368790924</v>
      </c>
      <c r="R182" s="1364">
        <f t="shared" si="164"/>
        <v>36098.75719498322</v>
      </c>
      <c r="S182" s="576">
        <f t="shared" si="140"/>
        <v>1.2189808862538272</v>
      </c>
      <c r="T182" s="135" t="str">
        <f t="shared" si="141"/>
        <v>No</v>
      </c>
      <c r="U182" s="1526">
        <f t="shared" si="142"/>
        <v>1</v>
      </c>
      <c r="V182" s="1494">
        <f t="shared" si="134"/>
        <v>73665.78292472985</v>
      </c>
      <c r="W182" s="1527">
        <f>(1-V182/F182)</f>
        <v>0.28673488287563798</v>
      </c>
      <c r="X182" s="527">
        <f t="shared" si="143"/>
        <v>40704.728491659072</v>
      </c>
      <c r="Y182" s="1509">
        <f t="shared" si="144"/>
        <v>13892.789414552248</v>
      </c>
      <c r="Z182" s="1531">
        <f t="shared" si="145"/>
        <v>3143.3394376331189</v>
      </c>
      <c r="AA182" s="1531">
        <f t="shared" si="146"/>
        <v>0</v>
      </c>
      <c r="AB182" s="1531">
        <f t="shared" si="147"/>
        <v>15924.925580885418</v>
      </c>
      <c r="AC182" s="1531">
        <f t="shared" si="148"/>
        <v>73665.78292472985</v>
      </c>
      <c r="AD182" s="1005">
        <f t="shared" si="149"/>
        <v>6484.8743178513687</v>
      </c>
      <c r="AE182" s="649">
        <f t="shared" si="150"/>
        <v>0.55255950423075406</v>
      </c>
      <c r="AF182" s="417">
        <f t="shared" si="151"/>
        <v>0.18859216400031489</v>
      </c>
      <c r="AG182" s="417">
        <f t="shared" si="152"/>
        <v>4.2670278015573625E-2</v>
      </c>
      <c r="AH182" s="417">
        <f t="shared" si="165"/>
        <v>0</v>
      </c>
      <c r="AI182" s="417">
        <f t="shared" si="153"/>
        <v>0.21617805375335755</v>
      </c>
      <c r="AJ182" s="417">
        <f t="shared" si="154"/>
        <v>1.0000000000000002</v>
      </c>
      <c r="AK182" s="1497">
        <f t="shared" si="155"/>
        <v>40704.72849165908</v>
      </c>
      <c r="AL182" s="1498">
        <f t="shared" si="156"/>
        <v>0</v>
      </c>
      <c r="AM182" s="1498">
        <f t="shared" si="157"/>
        <v>0</v>
      </c>
      <c r="AN182" s="1498">
        <f t="shared" si="158"/>
        <v>40704.72849165908</v>
      </c>
      <c r="AO182" s="1184">
        <f t="shared" si="159"/>
        <v>0</v>
      </c>
    </row>
    <row r="183" spans="1:41">
      <c r="A183" s="873">
        <f>'Input data'!A123</f>
        <v>2023</v>
      </c>
      <c r="B183" s="1551">
        <f>'Input data'!B123</f>
        <v>61.381040636574369</v>
      </c>
      <c r="C183" s="1550">
        <f>'Input data'!C123</f>
        <v>4491.3837914672167</v>
      </c>
      <c r="D183" s="1511">
        <f>'Input data'!E123</f>
        <v>49695564.714711666</v>
      </c>
      <c r="E183" s="1508">
        <f>'Input data'!J123*C183</f>
        <v>54036.043322671459</v>
      </c>
      <c r="F183" s="1509">
        <f>'Input data'!L123</f>
        <v>103731.60803738312</v>
      </c>
      <c r="G183" s="1557">
        <f>($G$147-$G$142)/($A$147-$A$142)+G182</f>
        <v>32166.662923379241</v>
      </c>
      <c r="H183" s="1509">
        <f t="shared" si="160"/>
        <v>45476.518546031912</v>
      </c>
      <c r="I183" s="1511">
        <f t="shared" si="136"/>
        <v>49695.564714711669</v>
      </c>
      <c r="J183" s="1454">
        <f t="shared" si="161"/>
        <v>0.21775647462816641</v>
      </c>
      <c r="K183" s="1512">
        <f t="shared" si="162"/>
        <v>7762.8813505312773</v>
      </c>
      <c r="L183" s="1512">
        <f t="shared" si="137"/>
        <v>0</v>
      </c>
      <c r="M183" s="1511">
        <f t="shared" si="163"/>
        <v>7762.8813505312773</v>
      </c>
      <c r="N183" s="1454">
        <f>($N$147-$N$142)/($A$107-$A$102)+N182</f>
        <v>0.5</v>
      </c>
      <c r="O183" s="530">
        <f t="shared" si="138"/>
        <v>751.91700000000026</v>
      </c>
      <c r="P183" s="1210">
        <f t="shared" si="166"/>
        <v>8514.7983505312768</v>
      </c>
      <c r="Q183" s="1364">
        <f t="shared" si="139"/>
        <v>69128.383118879879</v>
      </c>
      <c r="R183" s="1364">
        <f t="shared" si="164"/>
        <v>36961.720195500639</v>
      </c>
      <c r="S183" s="576">
        <f t="shared" si="140"/>
        <v>1.2216993903888442</v>
      </c>
      <c r="T183" s="135" t="str">
        <f t="shared" si="141"/>
        <v>No</v>
      </c>
      <c r="U183" s="1526">
        <f t="shared" si="142"/>
        <v>1</v>
      </c>
      <c r="V183" s="1494">
        <f t="shared" si="134"/>
        <v>73477.258656283419</v>
      </c>
      <c r="W183" s="1527">
        <f t="shared" si="135"/>
        <v>0.2916598899170304</v>
      </c>
      <c r="X183" s="527">
        <f t="shared" si="143"/>
        <v>38874.033737780155</v>
      </c>
      <c r="Y183" s="1509">
        <f t="shared" si="144"/>
        <v>15148.636884343905</v>
      </c>
      <c r="Z183" s="1531">
        <f t="shared" si="145"/>
        <v>3193.7786150741408</v>
      </c>
      <c r="AA183" s="1531">
        <f t="shared" si="146"/>
        <v>0</v>
      </c>
      <c r="AB183" s="1531">
        <f t="shared" si="147"/>
        <v>16260.809419085223</v>
      </c>
      <c r="AC183" s="1531">
        <f t="shared" si="148"/>
        <v>73477.258656283419</v>
      </c>
      <c r="AD183" s="1005">
        <f t="shared" si="149"/>
        <v>6707.3708144009142</v>
      </c>
      <c r="AE183" s="649">
        <f t="shared" si="150"/>
        <v>0.52906211321284558</v>
      </c>
      <c r="AF183" s="417">
        <f t="shared" si="151"/>
        <v>0.20616769271710531</v>
      </c>
      <c r="AG183" s="417">
        <f t="shared" si="152"/>
        <v>4.3466218983674948E-2</v>
      </c>
      <c r="AH183" s="417">
        <f t="shared" si="165"/>
        <v>0</v>
      </c>
      <c r="AI183" s="417">
        <f t="shared" si="153"/>
        <v>0.22130397508637425</v>
      </c>
      <c r="AJ183" s="417">
        <f t="shared" si="154"/>
        <v>1.0000000000000002</v>
      </c>
      <c r="AK183" s="1497">
        <f t="shared" si="155"/>
        <v>38874.033737780155</v>
      </c>
      <c r="AL183" s="1498">
        <f t="shared" si="156"/>
        <v>0</v>
      </c>
      <c r="AM183" s="1498">
        <f t="shared" si="157"/>
        <v>0</v>
      </c>
      <c r="AN183" s="1498">
        <f t="shared" si="158"/>
        <v>38874.033737780155</v>
      </c>
      <c r="AO183" s="1184">
        <f t="shared" si="159"/>
        <v>0</v>
      </c>
    </row>
    <row r="184" spans="1:41">
      <c r="A184" s="873">
        <f>'Input data'!A124</f>
        <v>2024</v>
      </c>
      <c r="B184" s="1551">
        <f>'Input data'!B124</f>
        <v>62.087792487153699</v>
      </c>
      <c r="C184" s="1550">
        <f>'Input data'!C124</f>
        <v>4591.0468432418256</v>
      </c>
      <c r="D184" s="1511">
        <f>'Input data'!E124</f>
        <v>49925010.483280979</v>
      </c>
      <c r="E184" s="1508">
        <f>'Input data'!J124*C184</f>
        <v>55235.094045879225</v>
      </c>
      <c r="F184" s="1509">
        <f>'Input data'!L124</f>
        <v>105160.10452916021</v>
      </c>
      <c r="G184" s="1557">
        <f t="shared" ref="G184:G186" si="167">($G$147-$G$142)/($A$147-$A$142)+G183</f>
        <v>30113.471672950778</v>
      </c>
      <c r="H184" s="1509">
        <f t="shared" si="160"/>
        <v>48433.057538749388</v>
      </c>
      <c r="I184" s="1511">
        <f t="shared" si="136"/>
        <v>49925.010483280981</v>
      </c>
      <c r="J184" s="1454">
        <f t="shared" si="161"/>
        <v>0.24379126396699979</v>
      </c>
      <c r="K184" s="1512">
        <f t="shared" si="162"/>
        <v>9098.5099146988778</v>
      </c>
      <c r="L184" s="1512">
        <f t="shared" si="137"/>
        <v>0</v>
      </c>
      <c r="M184" s="1511">
        <f t="shared" si="163"/>
        <v>9098.5099146988778</v>
      </c>
      <c r="N184" s="1454">
        <f>($N$147-$N$142)/($A$107-$A$102)+N183</f>
        <v>0.5</v>
      </c>
      <c r="O184" s="530">
        <f t="shared" si="138"/>
        <v>751.91700000000026</v>
      </c>
      <c r="P184" s="1210">
        <f t="shared" si="166"/>
        <v>9850.4269146988772</v>
      </c>
      <c r="Q184" s="1364">
        <f t="shared" si="139"/>
        <v>68696.102297001285</v>
      </c>
      <c r="R184" s="1364">
        <f t="shared" si="164"/>
        <v>38582.630624050507</v>
      </c>
      <c r="S184" s="576">
        <f t="shared" si="140"/>
        <v>1.2469189207298756</v>
      </c>
      <c r="T184" s="135" t="str">
        <f t="shared" si="141"/>
        <v>No</v>
      </c>
      <c r="U184" s="1526">
        <f t="shared" si="142"/>
        <v>1</v>
      </c>
      <c r="V184" s="1494">
        <f t="shared" si="134"/>
        <v>74217.731306155125</v>
      </c>
      <c r="W184" s="1527">
        <f t="shared" si="135"/>
        <v>0.29424060922671458</v>
      </c>
      <c r="X184" s="527">
        <f t="shared" si="143"/>
        <v>37753.729073996197</v>
      </c>
      <c r="Y184" s="1509">
        <f t="shared" si="144"/>
        <v>16594.405069823497</v>
      </c>
      <c r="Z184" s="1531">
        <f t="shared" si="145"/>
        <v>3247.9631140768552</v>
      </c>
      <c r="AA184" s="1531">
        <f t="shared" si="146"/>
        <v>0</v>
      </c>
      <c r="AB184" s="1531">
        <f t="shared" si="147"/>
        <v>16621.634048258569</v>
      </c>
      <c r="AC184" s="1531">
        <f t="shared" si="148"/>
        <v>74217.731306155125</v>
      </c>
      <c r="AD184" s="1005">
        <f t="shared" si="149"/>
        <v>7640.2574010454191</v>
      </c>
      <c r="AE184" s="649">
        <f t="shared" si="150"/>
        <v>0.5086888053510894</v>
      </c>
      <c r="AF184" s="417">
        <f t="shared" si="151"/>
        <v>0.22359084248169772</v>
      </c>
      <c r="AG184" s="417">
        <f t="shared" si="152"/>
        <v>4.3762629993076743E-2</v>
      </c>
      <c r="AH184" s="417">
        <f t="shared" si="165"/>
        <v>0</v>
      </c>
      <c r="AI184" s="417">
        <f t="shared" si="153"/>
        <v>0.22395772217413606</v>
      </c>
      <c r="AJ184" s="417">
        <f t="shared" si="154"/>
        <v>1</v>
      </c>
      <c r="AK184" s="1497">
        <f t="shared" si="155"/>
        <v>37753.729073996197</v>
      </c>
      <c r="AL184" s="1498">
        <f t="shared" si="156"/>
        <v>0</v>
      </c>
      <c r="AM184" s="1498">
        <f t="shared" si="157"/>
        <v>0</v>
      </c>
      <c r="AN184" s="1498">
        <f t="shared" si="158"/>
        <v>37753.729073996197</v>
      </c>
      <c r="AO184" s="1184">
        <f t="shared" si="159"/>
        <v>0</v>
      </c>
    </row>
    <row r="185" spans="1:41">
      <c r="A185" s="873">
        <f>'Input data'!A125</f>
        <v>2025</v>
      </c>
      <c r="B185" s="1551">
        <f>'Input data'!B125</f>
        <v>62.802682000000026</v>
      </c>
      <c r="C185" s="1550">
        <f>'Input data'!C125</f>
        <v>4678.7390647078637</v>
      </c>
      <c r="D185" s="1511">
        <f>'Input data'!E125</f>
        <v>50358140.956147172</v>
      </c>
      <c r="E185" s="1508">
        <f>'Input data'!J125*C185</f>
        <v>56290.12316345374</v>
      </c>
      <c r="F185" s="1509">
        <f>'Input data'!L125</f>
        <v>106648.26411960091</v>
      </c>
      <c r="G185" s="1557">
        <f t="shared" si="167"/>
        <v>28060.280422522315</v>
      </c>
      <c r="H185" s="1509">
        <f t="shared" si="160"/>
        <v>51498.104280119202</v>
      </c>
      <c r="I185" s="1511">
        <f t="shared" si="136"/>
        <v>50358.140956147174</v>
      </c>
      <c r="J185" s="1454">
        <f t="shared" si="161"/>
        <v>0.26982605330583315</v>
      </c>
      <c r="K185" s="1512">
        <f t="shared" si="162"/>
        <v>10488.508730308549</v>
      </c>
      <c r="L185" s="1512">
        <f t="shared" si="137"/>
        <v>0</v>
      </c>
      <c r="M185" s="1511">
        <f t="shared" si="163"/>
        <v>10488.508730308549</v>
      </c>
      <c r="N185" s="1454">
        <f>($N$147-$N$142)/($A$107-$A$102)+N184</f>
        <v>0.5</v>
      </c>
      <c r="O185" s="530">
        <f t="shared" si="138"/>
        <v>751.91700000000026</v>
      </c>
      <c r="P185" s="1210">
        <f t="shared" si="166"/>
        <v>11240.425730308549</v>
      </c>
      <c r="Q185" s="1364">
        <f t="shared" si="139"/>
        <v>68317.95897233297</v>
      </c>
      <c r="R185" s="1364">
        <f t="shared" si="164"/>
        <v>40257.678549810655</v>
      </c>
      <c r="S185" s="576">
        <f t="shared" si="140"/>
        <v>1.2760868945963288</v>
      </c>
      <c r="T185" s="135" t="str">
        <f t="shared" si="141"/>
        <v>No</v>
      </c>
      <c r="U185" s="1526">
        <f t="shared" si="142"/>
        <v>1</v>
      </c>
      <c r="V185" s="1494">
        <f t="shared" si="134"/>
        <v>75100.507677399117</v>
      </c>
      <c r="W185" s="1527">
        <f t="shared" si="135"/>
        <v>0.29581125115006557</v>
      </c>
      <c r="X185" s="527">
        <f t="shared" si="143"/>
        <v>36770.202530131144</v>
      </c>
      <c r="Y185" s="1509">
        <f t="shared" si="144"/>
        <v>18095.546857208428</v>
      </c>
      <c r="Z185" s="1531">
        <f t="shared" si="145"/>
        <v>3295.6393491706608</v>
      </c>
      <c r="AA185" s="1531">
        <f t="shared" si="146"/>
        <v>0</v>
      </c>
      <c r="AB185" s="1531">
        <f t="shared" si="147"/>
        <v>16939.118940888875</v>
      </c>
      <c r="AC185" s="1531">
        <f t="shared" si="148"/>
        <v>75100.507677399117</v>
      </c>
      <c r="AD185" s="1005">
        <f t="shared" si="149"/>
        <v>8709.9221076088288</v>
      </c>
      <c r="AE185" s="649">
        <f t="shared" si="150"/>
        <v>0.4896132352138125</v>
      </c>
      <c r="AF185" s="417">
        <f t="shared" si="151"/>
        <v>0.24095105901200364</v>
      </c>
      <c r="AG185" s="417">
        <f t="shared" si="152"/>
        <v>4.3883050209558787E-2</v>
      </c>
      <c r="AH185" s="417">
        <f t="shared" si="165"/>
        <v>0</v>
      </c>
      <c r="AI185" s="417">
        <f t="shared" si="153"/>
        <v>0.22555265556462495</v>
      </c>
      <c r="AJ185" s="417">
        <f t="shared" si="154"/>
        <v>0.99999999999999978</v>
      </c>
      <c r="AK185" s="1497">
        <f t="shared" si="155"/>
        <v>36770.202530131151</v>
      </c>
      <c r="AL185" s="1498">
        <f t="shared" si="156"/>
        <v>0</v>
      </c>
      <c r="AM185" s="1498">
        <f t="shared" si="157"/>
        <v>0</v>
      </c>
      <c r="AN185" s="1498">
        <f t="shared" si="158"/>
        <v>36770.202530131151</v>
      </c>
      <c r="AO185" s="1184">
        <f t="shared" si="159"/>
        <v>0</v>
      </c>
    </row>
    <row r="186" spans="1:41">
      <c r="A186" s="873">
        <f>'Input data'!A126</f>
        <v>2026</v>
      </c>
      <c r="B186" s="1551">
        <f>'Input data'!B126</f>
        <v>63.421065342005143</v>
      </c>
      <c r="C186" s="1550">
        <f>'Input data'!C126</f>
        <v>4759.3318943865906</v>
      </c>
      <c r="D186" s="1511">
        <f>'Input data'!E126</f>
        <v>48568999.176537097</v>
      </c>
      <c r="E186" s="1508">
        <f>'Input data'!J126*C186</f>
        <v>57259.739174512491</v>
      </c>
      <c r="F186" s="1509">
        <f>'Input data'!L126</f>
        <v>105828.73835104959</v>
      </c>
      <c r="G186" s="1557">
        <f t="shared" si="167"/>
        <v>26007.089172093853</v>
      </c>
      <c r="H186" s="1509">
        <f t="shared" si="160"/>
        <v>52428.64395205761</v>
      </c>
      <c r="I186" s="1511">
        <f t="shared" si="136"/>
        <v>48568.999176537094</v>
      </c>
      <c r="J186" s="1454">
        <f t="shared" si="161"/>
        <v>0.2958608426446665</v>
      </c>
      <c r="K186" s="1512">
        <f t="shared" si="162"/>
        <v>11380.352957632032</v>
      </c>
      <c r="L186" s="1512">
        <f t="shared" si="137"/>
        <v>0</v>
      </c>
      <c r="M186" s="1511">
        <f t="shared" si="163"/>
        <v>11380.352957632032</v>
      </c>
      <c r="N186" s="1454">
        <f>($N$147-$N$142)/($A$107-$A$102)+N185</f>
        <v>0.5</v>
      </c>
      <c r="O186" s="530">
        <f t="shared" si="138"/>
        <v>751.91700000000026</v>
      </c>
      <c r="P186" s="1210">
        <f t="shared" si="166"/>
        <v>12132.269957632032</v>
      </c>
      <c r="Q186" s="1364">
        <f t="shared" si="139"/>
        <v>66303.463166519432</v>
      </c>
      <c r="R186" s="1364">
        <f t="shared" si="164"/>
        <v>40296.373994425579</v>
      </c>
      <c r="S186" s="576">
        <f t="shared" si="140"/>
        <v>1.2551773006646161</v>
      </c>
      <c r="T186" s="135" t="str">
        <f t="shared" si="141"/>
        <v>No</v>
      </c>
      <c r="U186" s="1526">
        <f t="shared" si="142"/>
        <v>1</v>
      </c>
      <c r="V186" s="1494">
        <f t="shared" si="134"/>
        <v>73724.609338288879</v>
      </c>
      <c r="W186" s="1527">
        <f t="shared" si="135"/>
        <v>0.30335927190463674</v>
      </c>
      <c r="X186" s="527">
        <f t="shared" si="143"/>
        <v>34199.334153758718</v>
      </c>
      <c r="Y186" s="1509">
        <f t="shared" si="144"/>
        <v>18954.918501820048</v>
      </c>
      <c r="Z186" s="1531">
        <f t="shared" si="145"/>
        <v>3339.4558089478387</v>
      </c>
      <c r="AA186" s="1531">
        <f t="shared" si="146"/>
        <v>0</v>
      </c>
      <c r="AB186" s="1531">
        <f t="shared" si="147"/>
        <v>17230.900873762275</v>
      </c>
      <c r="AC186" s="1531">
        <f t="shared" si="148"/>
        <v>73724.609338288879</v>
      </c>
      <c r="AD186" s="1005">
        <f t="shared" si="149"/>
        <v>8192.2449816648659</v>
      </c>
      <c r="AE186" s="1454">
        <f t="shared" si="150"/>
        <v>0.46387948964006642</v>
      </c>
      <c r="AF186" s="1504">
        <f t="shared" si="151"/>
        <v>0.25710436002237058</v>
      </c>
      <c r="AG186" s="1504">
        <f t="shared" si="152"/>
        <v>4.5296351366537417E-2</v>
      </c>
      <c r="AH186" s="1504">
        <f t="shared" si="165"/>
        <v>0</v>
      </c>
      <c r="AI186" s="1504">
        <f t="shared" si="153"/>
        <v>0.23371979897102563</v>
      </c>
      <c r="AJ186" s="1504">
        <f t="shared" si="154"/>
        <v>1</v>
      </c>
      <c r="AK186" s="1555">
        <f t="shared" si="155"/>
        <v>34199.334153758711</v>
      </c>
      <c r="AL186" s="1556">
        <f t="shared" si="156"/>
        <v>0</v>
      </c>
      <c r="AM186" s="1556">
        <f t="shared" si="157"/>
        <v>0</v>
      </c>
      <c r="AN186" s="1556">
        <f t="shared" si="158"/>
        <v>34199.334153758711</v>
      </c>
      <c r="AO186" s="1543">
        <f t="shared" si="159"/>
        <v>0</v>
      </c>
    </row>
    <row r="187" spans="1:41">
      <c r="A187" s="873">
        <f>'Input data'!A127</f>
        <v>2027</v>
      </c>
      <c r="B187" s="1551">
        <f>'Input data'!B127</f>
        <v>64.045537563425796</v>
      </c>
      <c r="C187" s="1550">
        <f>'Input data'!C127</f>
        <v>4833.4252769493587</v>
      </c>
      <c r="D187" s="1511">
        <f>'Input data'!E127</f>
        <v>48190122.249078177</v>
      </c>
      <c r="E187" s="1508">
        <f>'Input data'!J127*C187</f>
        <v>58151.160040770083</v>
      </c>
      <c r="F187" s="1509">
        <f>'Input data'!L127</f>
        <v>106341.28228984826</v>
      </c>
      <c r="G187" s="1557">
        <f>G177*(1-E5)</f>
        <v>23953.89792166539</v>
      </c>
      <c r="H187" s="1509">
        <f t="shared" si="160"/>
        <v>54637.780932861067</v>
      </c>
      <c r="I187" s="1511">
        <f t="shared" si="136"/>
        <v>48190.12224907818</v>
      </c>
      <c r="J187" s="1454">
        <f t="shared" si="161"/>
        <v>0.32189563198349985</v>
      </c>
      <c r="K187" s="1512">
        <f t="shared" si="162"/>
        <v>12546.196809673773</v>
      </c>
      <c r="L187" s="1512">
        <f t="shared" si="137"/>
        <v>0</v>
      </c>
      <c r="M187" s="1511">
        <f t="shared" si="163"/>
        <v>12546.196809673773</v>
      </c>
      <c r="N187" s="1454">
        <f>$C$27</f>
        <v>0.5</v>
      </c>
      <c r="O187" s="530">
        <f t="shared" si="138"/>
        <v>751.91700000000026</v>
      </c>
      <c r="P187" s="1210">
        <f t="shared" si="166"/>
        <v>13298.113809673772</v>
      </c>
      <c r="Q187" s="1364">
        <f t="shared" si="139"/>
        <v>65293.565044852687</v>
      </c>
      <c r="R187" s="1364">
        <f t="shared" si="164"/>
        <v>41339.667123187297</v>
      </c>
      <c r="S187" s="576">
        <f t="shared" si="140"/>
        <v>1.2674801547966901</v>
      </c>
      <c r="T187" s="135" t="str">
        <f t="shared" si="141"/>
        <v>No</v>
      </c>
      <c r="U187" s="1526">
        <f t="shared" si="142"/>
        <v>1</v>
      </c>
      <c r="V187" s="1494">
        <f t="shared" si="134"/>
        <v>73725.649637344613</v>
      </c>
      <c r="W187" s="1527">
        <f t="shared" si="135"/>
        <v>0.30670715972377605</v>
      </c>
      <c r="X187" s="527">
        <f t="shared" si="143"/>
        <v>32677.932392349045</v>
      </c>
      <c r="Y187" s="1509">
        <f t="shared" si="144"/>
        <v>20168.826661773055</v>
      </c>
      <c r="Z187" s="1531">
        <f t="shared" si="145"/>
        <v>3379.7386694672964</v>
      </c>
      <c r="AA187" s="1531">
        <f t="shared" si="146"/>
        <v>0</v>
      </c>
      <c r="AB187" s="1531">
        <f t="shared" si="147"/>
        <v>17499.151913755224</v>
      </c>
      <c r="AC187" s="1531">
        <f t="shared" si="148"/>
        <v>73725.649637344613</v>
      </c>
      <c r="AD187" s="1005">
        <f t="shared" si="149"/>
        <v>8724.0344706836549</v>
      </c>
      <c r="AE187" s="1454">
        <f t="shared" si="150"/>
        <v>0.44323695420917025</v>
      </c>
      <c r="AF187" s="1504">
        <f t="shared" si="151"/>
        <v>0.27356594022546044</v>
      </c>
      <c r="AG187" s="1504">
        <f t="shared" si="152"/>
        <v>4.5842100898292264E-2</v>
      </c>
      <c r="AH187" s="1504">
        <f t="shared" si="165"/>
        <v>0</v>
      </c>
      <c r="AI187" s="1504">
        <f t="shared" si="153"/>
        <v>0.23735500466707712</v>
      </c>
      <c r="AJ187" s="1504">
        <f t="shared" si="154"/>
        <v>1</v>
      </c>
      <c r="AK187" s="1555">
        <f t="shared" si="155"/>
        <v>32677.932392349041</v>
      </c>
      <c r="AL187" s="1556">
        <f t="shared" si="156"/>
        <v>0</v>
      </c>
      <c r="AM187" s="1556">
        <f t="shared" si="157"/>
        <v>0</v>
      </c>
      <c r="AN187" s="1556">
        <f t="shared" si="158"/>
        <v>32677.932392349041</v>
      </c>
      <c r="AO187" s="1543">
        <f t="shared" si="159"/>
        <v>0</v>
      </c>
    </row>
    <row r="188" spans="1:41">
      <c r="A188" s="873">
        <f>'Input data'!A128</f>
        <v>2028</v>
      </c>
      <c r="B188" s="1551">
        <f>'Input data'!B128</f>
        <v>64.676158618096451</v>
      </c>
      <c r="C188" s="1550">
        <f>'Input data'!C128</f>
        <v>4919.2292537742524</v>
      </c>
      <c r="D188" s="1511">
        <f>'Input data'!E128</f>
        <v>48438037.819118328</v>
      </c>
      <c r="E188" s="1508">
        <f>'Input data'!J128*C188</f>
        <v>59183.471600912402</v>
      </c>
      <c r="F188" s="1509">
        <f>'Input data'!L128</f>
        <v>107621.50942003072</v>
      </c>
      <c r="G188" s="1557">
        <f>($G$152-$G$147)/($A$152-$A$147)+G187</f>
        <v>21900.706671236927</v>
      </c>
      <c r="H188" s="1509">
        <f t="shared" si="160"/>
        <v>57515.976833630208</v>
      </c>
      <c r="I188" s="1511">
        <f t="shared" si="136"/>
        <v>48438.037819118326</v>
      </c>
      <c r="J188" s="1454">
        <f t="shared" si="161"/>
        <v>0.34793042132233321</v>
      </c>
      <c r="K188" s="1512">
        <f t="shared" si="162"/>
        <v>13871.815216679082</v>
      </c>
      <c r="L188" s="1512">
        <f t="shared" si="137"/>
        <v>0</v>
      </c>
      <c r="M188" s="1511">
        <f t="shared" si="163"/>
        <v>13871.815216679082</v>
      </c>
      <c r="N188" s="1454">
        <f>N187</f>
        <v>0.5</v>
      </c>
      <c r="O188" s="530">
        <f t="shared" si="138"/>
        <v>751.91700000000026</v>
      </c>
      <c r="P188" s="1210">
        <f t="shared" si="166"/>
        <v>14623.732216679082</v>
      </c>
      <c r="Q188" s="1364">
        <f t="shared" si="139"/>
        <v>64792.951288188051</v>
      </c>
      <c r="R188" s="1364">
        <f t="shared" si="164"/>
        <v>42892.244616951124</v>
      </c>
      <c r="S188" s="576">
        <f t="shared" si="140"/>
        <v>1.2916246074570821</v>
      </c>
      <c r="T188" s="135" t="str">
        <f t="shared" si="141"/>
        <v>No</v>
      </c>
      <c r="U188" s="1526">
        <f t="shared" si="142"/>
        <v>1</v>
      </c>
      <c r="V188" s="1494">
        <f t="shared" si="134"/>
        <v>74413.529044528055</v>
      </c>
      <c r="W188" s="1527">
        <f t="shared" si="135"/>
        <v>0.30856267073802934</v>
      </c>
      <c r="X188" s="527">
        <f t="shared" si="143"/>
        <v>31584.970912685378</v>
      </c>
      <c r="Y188" s="1509">
        <f t="shared" si="144"/>
        <v>21592.369302358646</v>
      </c>
      <c r="Z188" s="1531">
        <f t="shared" si="145"/>
        <v>3426.3883095687434</v>
      </c>
      <c r="AA188" s="1531">
        <f t="shared" si="146"/>
        <v>0</v>
      </c>
      <c r="AB188" s="1531">
        <f t="shared" si="147"/>
        <v>17809.800519915287</v>
      </c>
      <c r="AC188" s="1531">
        <f t="shared" si="148"/>
        <v>74413.529044528055</v>
      </c>
      <c r="AD188" s="1005">
        <f t="shared" si="149"/>
        <v>9684.2642414484508</v>
      </c>
      <c r="AE188" s="1454">
        <f t="shared" si="150"/>
        <v>0.42445199573568615</v>
      </c>
      <c r="AF188" s="1504">
        <f t="shared" si="151"/>
        <v>0.29016725291227702</v>
      </c>
      <c r="AG188" s="1504">
        <f t="shared" si="152"/>
        <v>4.6045233354252542E-2</v>
      </c>
      <c r="AH188" s="1504">
        <f t="shared" si="165"/>
        <v>0</v>
      </c>
      <c r="AI188" s="1504">
        <f t="shared" si="153"/>
        <v>0.23933551799778427</v>
      </c>
      <c r="AJ188" s="1504">
        <f t="shared" si="154"/>
        <v>1</v>
      </c>
      <c r="AK188" s="1555">
        <f t="shared" si="155"/>
        <v>31584.970912685378</v>
      </c>
      <c r="AL188" s="1556">
        <f t="shared" si="156"/>
        <v>0</v>
      </c>
      <c r="AM188" s="1556">
        <f t="shared" si="157"/>
        <v>0</v>
      </c>
      <c r="AN188" s="1556">
        <f t="shared" si="158"/>
        <v>31584.970912685378</v>
      </c>
      <c r="AO188" s="1543">
        <f t="shared" si="159"/>
        <v>0</v>
      </c>
    </row>
    <row r="189" spans="1:41">
      <c r="A189" s="873">
        <f>'Input data'!A129</f>
        <v>2029</v>
      </c>
      <c r="B189" s="1551">
        <f>'Input data'!B129</f>
        <v>65.31298905018393</v>
      </c>
      <c r="C189" s="1550">
        <f>'Input data'!C129</f>
        <v>5028.6283675846353</v>
      </c>
      <c r="D189" s="1511">
        <f>'Input data'!E129</f>
        <v>47172284.942566738</v>
      </c>
      <c r="E189" s="1508">
        <f>'Input data'!J129*C189</f>
        <v>60499.65733069805</v>
      </c>
      <c r="F189" s="1509">
        <f>'Input data'!L129</f>
        <v>107671.94227326478</v>
      </c>
      <c r="G189" s="1557">
        <f t="shared" ref="G189:G191" si="168">($G$152-$G$147)/($A$152-$A$147)+G188</f>
        <v>19847.515420808464</v>
      </c>
      <c r="H189" s="1509">
        <f t="shared" si="160"/>
        <v>59136.556177329672</v>
      </c>
      <c r="I189" s="1511">
        <f t="shared" si="136"/>
        <v>47172.284942566737</v>
      </c>
      <c r="J189" s="1454">
        <f t="shared" si="161"/>
        <v>0.37396521066116656</v>
      </c>
      <c r="K189" s="1512">
        <f t="shared" si="162"/>
        <v>14737.446013333756</v>
      </c>
      <c r="L189" s="1512">
        <f t="shared" si="137"/>
        <v>0</v>
      </c>
      <c r="M189" s="1511">
        <f t="shared" si="163"/>
        <v>14737.446013333756</v>
      </c>
      <c r="N189" s="1454">
        <f t="shared" ref="N189:N210" si="169">N188</f>
        <v>0.5</v>
      </c>
      <c r="O189" s="530">
        <f t="shared" si="138"/>
        <v>751.91700000000026</v>
      </c>
      <c r="P189" s="1210">
        <f t="shared" si="166"/>
        <v>15489.363013333756</v>
      </c>
      <c r="Q189" s="1364">
        <f t="shared" si="139"/>
        <v>63494.708584804379</v>
      </c>
      <c r="R189" s="1364">
        <f t="shared" si="164"/>
        <v>43647.193163995915</v>
      </c>
      <c r="S189" s="576">
        <f t="shared" si="140"/>
        <v>1.2851312940159219</v>
      </c>
      <c r="T189" s="135" t="str">
        <f t="shared" si="141"/>
        <v>No</v>
      </c>
      <c r="U189" s="1526">
        <f t="shared" si="142"/>
        <v>1</v>
      </c>
      <c r="V189" s="1494">
        <f t="shared" si="134"/>
        <v>73708.725155111606</v>
      </c>
      <c r="W189" s="1527">
        <f t="shared" si="135"/>
        <v>0.31543238100002513</v>
      </c>
      <c r="X189" s="527">
        <f t="shared" si="143"/>
        <v>29531.49146665119</v>
      </c>
      <c r="Y189" s="1509">
        <f t="shared" si="144"/>
        <v>22485.493578564485</v>
      </c>
      <c r="Z189" s="1531">
        <f t="shared" si="145"/>
        <v>3485.8660805942818</v>
      </c>
      <c r="AA189" s="1531">
        <f t="shared" si="146"/>
        <v>0</v>
      </c>
      <c r="AB189" s="1531">
        <f t="shared" si="147"/>
        <v>18205.874029301649</v>
      </c>
      <c r="AC189" s="1531">
        <f t="shared" si="148"/>
        <v>73708.725155111606</v>
      </c>
      <c r="AD189" s="1005">
        <f t="shared" si="149"/>
        <v>9683.9760458427263</v>
      </c>
      <c r="AE189" s="1454">
        <f t="shared" si="150"/>
        <v>0.4006512309703571</v>
      </c>
      <c r="AF189" s="1504">
        <f t="shared" si="151"/>
        <v>0.30505877738688775</v>
      </c>
      <c r="AG189" s="1504">
        <f t="shared" si="152"/>
        <v>4.729244839411717E-2</v>
      </c>
      <c r="AH189" s="1504">
        <f t="shared" si="165"/>
        <v>0</v>
      </c>
      <c r="AI189" s="1504">
        <f t="shared" si="153"/>
        <v>0.24699754324863799</v>
      </c>
      <c r="AJ189" s="1504">
        <f t="shared" si="154"/>
        <v>1</v>
      </c>
      <c r="AK189" s="1555">
        <f t="shared" si="155"/>
        <v>29531.49146665119</v>
      </c>
      <c r="AL189" s="1556">
        <f t="shared" si="156"/>
        <v>0</v>
      </c>
      <c r="AM189" s="1556">
        <f t="shared" si="157"/>
        <v>0</v>
      </c>
      <c r="AN189" s="1556">
        <f t="shared" si="158"/>
        <v>29531.49146665119</v>
      </c>
      <c r="AO189" s="1543">
        <f t="shared" si="159"/>
        <v>0</v>
      </c>
    </row>
    <row r="190" spans="1:41">
      <c r="A190" s="873">
        <f>'Input data'!A130</f>
        <v>2030</v>
      </c>
      <c r="B190" s="1551">
        <f>'Input data'!B130</f>
        <v>65.956090000000003</v>
      </c>
      <c r="C190" s="1550">
        <f>'Input data'!C130</f>
        <v>5124.9200809700387</v>
      </c>
      <c r="D190" s="1511">
        <f>'Input data'!E130</f>
        <v>46124498.893218428</v>
      </c>
      <c r="E190" s="1508">
        <f>'Input data'!J130*C190</f>
        <v>61658.147327921863</v>
      </c>
      <c r="F190" s="1509">
        <f>'Input data'!L130</f>
        <v>107782.64622114028</v>
      </c>
      <c r="G190" s="1557">
        <f t="shared" si="168"/>
        <v>17794.324170380001</v>
      </c>
      <c r="H190" s="1509">
        <f t="shared" si="160"/>
        <v>60871.200048832761</v>
      </c>
      <c r="I190" s="1511">
        <f t="shared" si="136"/>
        <v>46124.498893218428</v>
      </c>
      <c r="J190" s="1504">
        <f>$H$19</f>
        <v>0.4</v>
      </c>
      <c r="K190" s="1512">
        <f t="shared" si="162"/>
        <v>15610.940956574535</v>
      </c>
      <c r="L190" s="1512">
        <f t="shared" si="137"/>
        <v>0</v>
      </c>
      <c r="M190" s="1511">
        <f t="shared" si="163"/>
        <v>15610.940956574535</v>
      </c>
      <c r="N190" s="1454">
        <f t="shared" si="169"/>
        <v>0.5</v>
      </c>
      <c r="O190" s="530">
        <f t="shared" si="138"/>
        <v>751.91700000000026</v>
      </c>
      <c r="P190" s="1210">
        <f t="shared" si="166"/>
        <v>16362.857956574535</v>
      </c>
      <c r="Q190" s="1364">
        <f t="shared" si="139"/>
        <v>62302.666262638231</v>
      </c>
      <c r="R190" s="1364">
        <f t="shared" si="164"/>
        <v>44508.34209225823</v>
      </c>
      <c r="S190" s="576">
        <f t="shared" si="140"/>
        <v>1.2853293462611781</v>
      </c>
      <c r="T190" s="135" t="str">
        <f t="shared" si="141"/>
        <v>No</v>
      </c>
      <c r="U190" s="1526">
        <f t="shared" si="142"/>
        <v>1</v>
      </c>
      <c r="V190" s="1494">
        <f t="shared" si="134"/>
        <v>73154.67929443311</v>
      </c>
      <c r="W190" s="1527">
        <f t="shared" si="135"/>
        <v>0.32127590239026171</v>
      </c>
      <c r="X190" s="527">
        <f t="shared" si="143"/>
        <v>27674.699335931055</v>
      </c>
      <c r="Y190" s="1509">
        <f t="shared" si="144"/>
        <v>23387.269385519867</v>
      </c>
      <c r="Z190" s="1531">
        <f t="shared" si="145"/>
        <v>3538.217660793739</v>
      </c>
      <c r="AA190" s="1531">
        <f t="shared" si="146"/>
        <v>0</v>
      </c>
      <c r="AB190" s="1531">
        <f t="shared" si="147"/>
        <v>18554.49291218846</v>
      </c>
      <c r="AC190" s="1531">
        <f t="shared" si="148"/>
        <v>73154.67929443311</v>
      </c>
      <c r="AD190" s="1005">
        <f t="shared" si="149"/>
        <v>9880.3751655510532</v>
      </c>
      <c r="AE190" s="1454">
        <f t="shared" si="150"/>
        <v>0.37830388435640411</v>
      </c>
      <c r="AF190" s="1504">
        <f t="shared" si="151"/>
        <v>0.31969615082844849</v>
      </c>
      <c r="AG190" s="1504">
        <f t="shared" si="152"/>
        <v>4.8366252096507904E-2</v>
      </c>
      <c r="AH190" s="1504">
        <f t="shared" si="165"/>
        <v>0</v>
      </c>
      <c r="AI190" s="1504">
        <f t="shared" si="153"/>
        <v>0.2536337127186396</v>
      </c>
      <c r="AJ190" s="1504">
        <f t="shared" si="154"/>
        <v>1</v>
      </c>
      <c r="AK190" s="1555">
        <f t="shared" si="155"/>
        <v>27674.699335931051</v>
      </c>
      <c r="AL190" s="1556">
        <f t="shared" si="156"/>
        <v>0</v>
      </c>
      <c r="AM190" s="1556">
        <f t="shared" si="157"/>
        <v>0</v>
      </c>
      <c r="AN190" s="1556">
        <f t="shared" si="158"/>
        <v>27674.699335931051</v>
      </c>
      <c r="AO190" s="1543">
        <f t="shared" si="159"/>
        <v>0</v>
      </c>
    </row>
    <row r="191" spans="1:41">
      <c r="A191" s="873">
        <f>'Input data'!A131</f>
        <v>2031</v>
      </c>
      <c r="B191" s="1551">
        <f>'Input data'!B131</f>
        <v>66.518977190687664</v>
      </c>
      <c r="C191" s="1550">
        <f>'Input data'!C131</f>
        <v>5062.3234119259168</v>
      </c>
      <c r="D191" s="1511">
        <f>'Input data'!E131</f>
        <v>43997076.132191785</v>
      </c>
      <c r="E191" s="1508">
        <f>'Input data'!J131*C191</f>
        <v>60905.0439465655</v>
      </c>
      <c r="F191" s="1509">
        <f>'Input data'!L131</f>
        <v>104902.12007875729</v>
      </c>
      <c r="G191" s="1557">
        <f t="shared" si="168"/>
        <v>15741.132919951538</v>
      </c>
      <c r="H191" s="1509">
        <f t="shared" si="160"/>
        <v>60495.770516089491</v>
      </c>
      <c r="I191" s="1511">
        <f t="shared" si="136"/>
        <v>43997.076132191782</v>
      </c>
      <c r="J191" s="1504">
        <f>J190</f>
        <v>0.4</v>
      </c>
      <c r="K191" s="1512">
        <f t="shared" si="162"/>
        <v>14890.909912140951</v>
      </c>
      <c r="L191" s="1512">
        <f t="shared" si="137"/>
        <v>0</v>
      </c>
      <c r="M191" s="1511">
        <f t="shared" si="163"/>
        <v>14890.909912140951</v>
      </c>
      <c r="N191" s="1454">
        <f t="shared" si="169"/>
        <v>0.5</v>
      </c>
      <c r="O191" s="530">
        <f t="shared" si="138"/>
        <v>751.91700000000026</v>
      </c>
      <c r="P191" s="1210">
        <f t="shared" si="166"/>
        <v>15642.82691214095</v>
      </c>
      <c r="Q191" s="1364">
        <f t="shared" si="139"/>
        <v>60594.076523900076</v>
      </c>
      <c r="R191" s="1364">
        <f t="shared" si="164"/>
        <v>44852.943603948537</v>
      </c>
      <c r="S191" s="576">
        <f t="shared" si="140"/>
        <v>1.3116494758615027</v>
      </c>
      <c r="T191" s="135" t="str">
        <f t="shared" si="141"/>
        <v>No</v>
      </c>
      <c r="U191" s="1526">
        <f t="shared" si="142"/>
        <v>1</v>
      </c>
      <c r="V191" s="1494">
        <f t="shared" si="134"/>
        <v>70706.289234172262</v>
      </c>
      <c r="W191" s="1527">
        <f t="shared" si="135"/>
        <v>0.32597845323728303</v>
      </c>
      <c r="X191" s="527">
        <f t="shared" si="143"/>
        <v>26398.245679315067</v>
      </c>
      <c r="Y191" s="1509">
        <f t="shared" si="144"/>
        <v>22475.993162194154</v>
      </c>
      <c r="Z191" s="1531">
        <f t="shared" si="145"/>
        <v>3504.1852978367515</v>
      </c>
      <c r="AA191" s="1531">
        <f t="shared" si="146"/>
        <v>0</v>
      </c>
      <c r="AB191" s="1531">
        <f t="shared" si="147"/>
        <v>18327.865094826295</v>
      </c>
      <c r="AC191" s="1531">
        <f t="shared" si="148"/>
        <v>70706.289234172262</v>
      </c>
      <c r="AD191" s="1005">
        <f t="shared" si="149"/>
        <v>10657.112759363528</v>
      </c>
      <c r="AE191" s="1454">
        <f t="shared" si="150"/>
        <v>0.37335074383392797</v>
      </c>
      <c r="AF191" s="1504">
        <f t="shared" si="151"/>
        <v>0.3178782737099366</v>
      </c>
      <c r="AG191" s="1504">
        <f t="shared" si="152"/>
        <v>4.9559739816513848E-2</v>
      </c>
      <c r="AH191" s="1504">
        <f t="shared" si="165"/>
        <v>0</v>
      </c>
      <c r="AI191" s="1504">
        <f t="shared" si="153"/>
        <v>0.25921124263962164</v>
      </c>
      <c r="AJ191" s="1504">
        <f t="shared" si="154"/>
        <v>1</v>
      </c>
      <c r="AK191" s="1555">
        <f t="shared" si="155"/>
        <v>26398.245679315063</v>
      </c>
      <c r="AL191" s="1556">
        <f t="shared" si="156"/>
        <v>0</v>
      </c>
      <c r="AM191" s="1556">
        <f t="shared" si="157"/>
        <v>0</v>
      </c>
      <c r="AN191" s="1556">
        <f t="shared" si="158"/>
        <v>26398.245679315063</v>
      </c>
      <c r="AO191" s="1543">
        <f t="shared" si="159"/>
        <v>0</v>
      </c>
    </row>
    <row r="192" spans="1:41">
      <c r="A192" s="873">
        <f>'Input data'!A132</f>
        <v>2032</v>
      </c>
      <c r="B192" s="1551">
        <f>'Input data'!B132</f>
        <v>67.08666821358311</v>
      </c>
      <c r="C192" s="1550">
        <f>'Input data'!C132</f>
        <v>5235.9881649481622</v>
      </c>
      <c r="D192" s="1511">
        <f>'Input data'!E132</f>
        <v>43370376.757557131</v>
      </c>
      <c r="E192" s="1508">
        <f>'Input data'!J132*C192</f>
        <v>62994.412513945383</v>
      </c>
      <c r="F192" s="1509">
        <f>'Input data'!L132</f>
        <v>106364.78927150252</v>
      </c>
      <c r="G192" s="1557">
        <f>G177*(1-E6)</f>
        <v>13687.941669523079</v>
      </c>
      <c r="H192" s="1509">
        <f t="shared" si="160"/>
        <v>63159.728880893526</v>
      </c>
      <c r="I192" s="1511">
        <f t="shared" si="136"/>
        <v>43370.376757557133</v>
      </c>
      <c r="J192" s="1504">
        <f t="shared" ref="J192:J210" si="170">J191</f>
        <v>0.4</v>
      </c>
      <c r="K192" s="1512">
        <f t="shared" si="162"/>
        <v>14678.802091574857</v>
      </c>
      <c r="L192" s="1512">
        <f t="shared" si="137"/>
        <v>0</v>
      </c>
      <c r="M192" s="1511">
        <f t="shared" si="163"/>
        <v>14678.802091574857</v>
      </c>
      <c r="N192" s="1454">
        <f t="shared" si="169"/>
        <v>0.5</v>
      </c>
      <c r="O192" s="530">
        <f t="shared" si="138"/>
        <v>751.91700000000026</v>
      </c>
      <c r="P192" s="1210">
        <f t="shared" si="166"/>
        <v>15430.719091574856</v>
      </c>
      <c r="Q192" s="1364">
        <f t="shared" si="139"/>
        <v>61416.951458841744</v>
      </c>
      <c r="R192" s="1364">
        <f t="shared" si="164"/>
        <v>47729.009789318661</v>
      </c>
      <c r="S192" s="576">
        <f t="shared" si="140"/>
        <v>1.3484780357558626</v>
      </c>
      <c r="T192" s="135" t="str">
        <f t="shared" si="141"/>
        <v>No</v>
      </c>
      <c r="U192" s="1526">
        <f t="shared" si="142"/>
        <v>1</v>
      </c>
      <c r="V192" s="1494">
        <f t="shared" si="134"/>
        <v>70970.063867195044</v>
      </c>
      <c r="W192" s="1527">
        <f t="shared" si="135"/>
        <v>0.33276731563826367</v>
      </c>
      <c r="X192" s="527">
        <f t="shared" si="143"/>
        <v>26022.22605453428</v>
      </c>
      <c r="Y192" s="1509">
        <f t="shared" si="144"/>
        <v>22392.626163510547</v>
      </c>
      <c r="Z192" s="1531">
        <f t="shared" si="145"/>
        <v>3598.6028123457536</v>
      </c>
      <c r="AA192" s="1531">
        <f t="shared" si="146"/>
        <v>0</v>
      </c>
      <c r="AB192" s="1531">
        <f t="shared" si="147"/>
        <v>18956.608836804473</v>
      </c>
      <c r="AC192" s="1531">
        <f t="shared" si="148"/>
        <v>70970.063867195044</v>
      </c>
      <c r="AD192" s="1005">
        <f t="shared" si="149"/>
        <v>12334.2843850112</v>
      </c>
      <c r="AE192" s="1454">
        <f t="shared" si="150"/>
        <v>0.36666482509060699</v>
      </c>
      <c r="AF192" s="1504">
        <f t="shared" si="151"/>
        <v>0.31552213628289039</v>
      </c>
      <c r="AG192" s="1504">
        <f t="shared" si="152"/>
        <v>5.0705926080040618E-2</v>
      </c>
      <c r="AH192" s="1504">
        <f t="shared" si="165"/>
        <v>0</v>
      </c>
      <c r="AI192" s="1504">
        <f t="shared" si="153"/>
        <v>0.26710711254646213</v>
      </c>
      <c r="AJ192" s="1504">
        <f t="shared" si="154"/>
        <v>1.0000000000000002</v>
      </c>
      <c r="AK192" s="1555">
        <f t="shared" si="155"/>
        <v>26022.22605453428</v>
      </c>
      <c r="AL192" s="1556">
        <f t="shared" si="156"/>
        <v>0</v>
      </c>
      <c r="AM192" s="1556">
        <f t="shared" si="157"/>
        <v>0</v>
      </c>
      <c r="AN192" s="1556">
        <f t="shared" si="158"/>
        <v>26022.22605453428</v>
      </c>
      <c r="AO192" s="1543">
        <f t="shared" si="159"/>
        <v>0</v>
      </c>
    </row>
    <row r="193" spans="1:41">
      <c r="A193" s="873">
        <f>'Input data'!A133</f>
        <v>2033</v>
      </c>
      <c r="B193" s="1551">
        <f>'Input data'!B133</f>
        <v>67.659204065895452</v>
      </c>
      <c r="C193" s="1550">
        <f>'Input data'!C133</f>
        <v>5403.9196893114931</v>
      </c>
      <c r="D193" s="1511">
        <f>'Input data'!E133</f>
        <v>42244930.407056943</v>
      </c>
      <c r="E193" s="1508">
        <f>'Input data'!J133*C193</f>
        <v>65014.804345740915</v>
      </c>
      <c r="F193" s="1509">
        <f>'Input data'!L133</f>
        <v>107259.73475279786</v>
      </c>
      <c r="G193" s="1557">
        <f>G192</f>
        <v>13687.941669523079</v>
      </c>
      <c r="H193" s="1509">
        <f t="shared" si="160"/>
        <v>63262.866425924571</v>
      </c>
      <c r="I193" s="1511">
        <f t="shared" si="136"/>
        <v>42244.930407056941</v>
      </c>
      <c r="J193" s="1504">
        <f t="shared" si="170"/>
        <v>0.4</v>
      </c>
      <c r="K193" s="1512">
        <f t="shared" si="162"/>
        <v>14297.892229158251</v>
      </c>
      <c r="L193" s="1512">
        <f t="shared" si="137"/>
        <v>0</v>
      </c>
      <c r="M193" s="1511">
        <f t="shared" si="163"/>
        <v>14297.892229158251</v>
      </c>
      <c r="N193" s="1454">
        <f t="shared" si="169"/>
        <v>0.5</v>
      </c>
      <c r="O193" s="530">
        <f t="shared" si="138"/>
        <v>751.91700000000026</v>
      </c>
      <c r="P193" s="1210">
        <f t="shared" si="166"/>
        <v>15049.809229158251</v>
      </c>
      <c r="Q193" s="1364">
        <f t="shared" si="139"/>
        <v>61900.998866289396</v>
      </c>
      <c r="R193" s="1364">
        <f t="shared" si="164"/>
        <v>48213.057196766313</v>
      </c>
      <c r="S193" s="576">
        <f t="shared" si="140"/>
        <v>1.318952881167301</v>
      </c>
      <c r="T193" s="135" t="str">
        <f t="shared" si="141"/>
        <v>No</v>
      </c>
      <c r="U193" s="1526">
        <f t="shared" si="142"/>
        <v>1</v>
      </c>
      <c r="V193" s="1494">
        <f t="shared" si="134"/>
        <v>70705.694130742631</v>
      </c>
      <c r="W193" s="1527">
        <f t="shared" si="135"/>
        <v>0.34079928228707201</v>
      </c>
      <c r="X193" s="527">
        <f t="shared" si="143"/>
        <v>25346.958244234163</v>
      </c>
      <c r="Y193" s="1509">
        <f t="shared" si="144"/>
        <v>22104.236845708667</v>
      </c>
      <c r="Z193" s="1531">
        <f t="shared" si="145"/>
        <v>3689.9033028722483</v>
      </c>
      <c r="AA193" s="1531">
        <f t="shared" si="146"/>
        <v>0</v>
      </c>
      <c r="AB193" s="1531">
        <f t="shared" si="147"/>
        <v>19564.595737927553</v>
      </c>
      <c r="AC193" s="1531">
        <f t="shared" si="148"/>
        <v>70705.694130742631</v>
      </c>
      <c r="AD193" s="1005">
        <f t="shared" si="149"/>
        <v>11659.016574711084</v>
      </c>
      <c r="AE193" s="1454">
        <f t="shared" si="150"/>
        <v>0.35848538870666963</v>
      </c>
      <c r="AF193" s="1504">
        <f t="shared" si="151"/>
        <v>0.31262315033405219</v>
      </c>
      <c r="AG193" s="1504">
        <f t="shared" si="152"/>
        <v>5.2186791293629194E-2</v>
      </c>
      <c r="AH193" s="1504">
        <f t="shared" si="165"/>
        <v>0</v>
      </c>
      <c r="AI193" s="1504">
        <f t="shared" si="153"/>
        <v>0.27670466966564894</v>
      </c>
      <c r="AJ193" s="1504">
        <f t="shared" si="154"/>
        <v>1</v>
      </c>
      <c r="AK193" s="1555">
        <f t="shared" si="155"/>
        <v>25346.958244234163</v>
      </c>
      <c r="AL193" s="1556">
        <f t="shared" si="156"/>
        <v>0</v>
      </c>
      <c r="AM193" s="1556">
        <f t="shared" si="157"/>
        <v>0</v>
      </c>
      <c r="AN193" s="1556">
        <f t="shared" si="158"/>
        <v>25346.958244234163</v>
      </c>
      <c r="AO193" s="1543">
        <f t="shared" si="159"/>
        <v>0</v>
      </c>
    </row>
    <row r="194" spans="1:41">
      <c r="A194" s="873">
        <f>'Input data'!A134</f>
        <v>2034</v>
      </c>
      <c r="B194" s="1551">
        <f>'Input data'!B134</f>
        <v>68.236626094715163</v>
      </c>
      <c r="C194" s="1550">
        <f>'Input data'!C134</f>
        <v>5610.4237500420486</v>
      </c>
      <c r="D194" s="1511">
        <f>'Input data'!E134</f>
        <v>40465875.003352016</v>
      </c>
      <c r="E194" s="1508">
        <f>'Input data'!J134*C194</f>
        <v>67499.264122512439</v>
      </c>
      <c r="F194" s="1509">
        <f>'Input data'!L134</f>
        <v>107965.13912586446</v>
      </c>
      <c r="G194" s="1557">
        <f t="shared" ref="G194:G210" si="171">G193</f>
        <v>13687.941669523079</v>
      </c>
      <c r="H194" s="1509">
        <f t="shared" si="160"/>
        <v>63018.908567771054</v>
      </c>
      <c r="I194" s="1511">
        <f t="shared" si="136"/>
        <v>40465.875003352019</v>
      </c>
      <c r="J194" s="1504">
        <f t="shared" si="170"/>
        <v>0.4</v>
      </c>
      <c r="K194" s="1512">
        <f t="shared" si="162"/>
        <v>13695.766904609831</v>
      </c>
      <c r="L194" s="1512">
        <f t="shared" si="137"/>
        <v>0</v>
      </c>
      <c r="M194" s="1511">
        <f t="shared" si="163"/>
        <v>13695.766904609831</v>
      </c>
      <c r="N194" s="1454">
        <f t="shared" si="169"/>
        <v>0.5</v>
      </c>
      <c r="O194" s="530">
        <f t="shared" si="138"/>
        <v>751.91700000000026</v>
      </c>
      <c r="P194" s="1210">
        <f t="shared" si="166"/>
        <v>14447.68390460983</v>
      </c>
      <c r="Q194" s="1364">
        <f t="shared" si="139"/>
        <v>62259.166332684297</v>
      </c>
      <c r="R194" s="1364">
        <f t="shared" si="164"/>
        <v>48571.224663161222</v>
      </c>
      <c r="S194" s="576">
        <f t="shared" si="140"/>
        <v>1.2788752858477939</v>
      </c>
      <c r="T194" s="135" t="str">
        <f t="shared" si="141"/>
        <v>No</v>
      </c>
      <c r="U194" s="1526">
        <f t="shared" si="142"/>
        <v>1</v>
      </c>
      <c r="V194" s="1494">
        <f t="shared" si="134"/>
        <v>69985.497795191375</v>
      </c>
      <c r="W194" s="1527">
        <f t="shared" si="135"/>
        <v>0.35177689426581371</v>
      </c>
      <c r="X194" s="527">
        <f t="shared" si="143"/>
        <v>24279.525002011211</v>
      </c>
      <c r="Y194" s="1509">
        <f t="shared" si="144"/>
        <v>21591.56560505191</v>
      </c>
      <c r="Z194" s="1531">
        <f t="shared" si="145"/>
        <v>3802.1747903841533</v>
      </c>
      <c r="AA194" s="1531">
        <f t="shared" si="146"/>
        <v>0</v>
      </c>
      <c r="AB194" s="1531">
        <f t="shared" si="147"/>
        <v>20312.232397744108</v>
      </c>
      <c r="AC194" s="1531">
        <f t="shared" si="148"/>
        <v>69985.497795191375</v>
      </c>
      <c r="AD194" s="1005">
        <f t="shared" si="149"/>
        <v>10591.583332488131</v>
      </c>
      <c r="AE194" s="1454">
        <f t="shared" si="150"/>
        <v>0.34692223056073523</v>
      </c>
      <c r="AF194" s="1504">
        <f t="shared" si="151"/>
        <v>0.3085148535806434</v>
      </c>
      <c r="AG194" s="1504">
        <f t="shared" si="152"/>
        <v>5.4328038095992459E-2</v>
      </c>
      <c r="AH194" s="1504">
        <f t="shared" si="165"/>
        <v>0</v>
      </c>
      <c r="AI194" s="1504">
        <f t="shared" si="153"/>
        <v>0.29023487776262896</v>
      </c>
      <c r="AJ194" s="1504">
        <f t="shared" si="154"/>
        <v>1</v>
      </c>
      <c r="AK194" s="1555">
        <f t="shared" si="155"/>
        <v>24279.525002011207</v>
      </c>
      <c r="AL194" s="1556">
        <f t="shared" si="156"/>
        <v>0</v>
      </c>
      <c r="AM194" s="1556">
        <f t="shared" si="157"/>
        <v>0</v>
      </c>
      <c r="AN194" s="1556">
        <f t="shared" si="158"/>
        <v>24279.525002011207</v>
      </c>
      <c r="AO194" s="1543">
        <f t="shared" si="159"/>
        <v>0</v>
      </c>
    </row>
    <row r="195" spans="1:41">
      <c r="A195" s="873">
        <f>'Input data'!A135</f>
        <v>2035</v>
      </c>
      <c r="B195" s="1551">
        <f>'Input data'!B135</f>
        <v>68.818976000000006</v>
      </c>
      <c r="C195" s="1550">
        <f>'Input data'!C135</f>
        <v>5785.6697548645852</v>
      </c>
      <c r="D195" s="1511">
        <f>'Input data'!E135</f>
        <v>33374025.316822052</v>
      </c>
      <c r="E195" s="1508">
        <f>'Input data'!J135*C195</f>
        <v>69607.656802449113</v>
      </c>
      <c r="F195" s="1509">
        <f>'Input data'!L135</f>
        <v>102981.68211927116</v>
      </c>
      <c r="G195" s="1557">
        <f t="shared" si="171"/>
        <v>13687.941669523079</v>
      </c>
      <c r="H195" s="1509">
        <f t="shared" si="160"/>
        <v>57573.356922858104</v>
      </c>
      <c r="I195" s="1511">
        <f t="shared" si="136"/>
        <v>33374.025316822052</v>
      </c>
      <c r="J195" s="1504">
        <f t="shared" si="170"/>
        <v>0.4</v>
      </c>
      <c r="K195" s="1512">
        <f t="shared" si="162"/>
        <v>11295.5143406606</v>
      </c>
      <c r="L195" s="1512">
        <f t="shared" si="137"/>
        <v>0</v>
      </c>
      <c r="M195" s="1511">
        <f t="shared" si="163"/>
        <v>11295.5143406606</v>
      </c>
      <c r="N195" s="1454">
        <f t="shared" si="169"/>
        <v>0.5</v>
      </c>
      <c r="O195" s="530">
        <f t="shared" si="138"/>
        <v>751.91700000000026</v>
      </c>
      <c r="P195" s="1210">
        <f t="shared" si="166"/>
        <v>12047.4313406606</v>
      </c>
      <c r="Q195" s="1364">
        <f t="shared" si="139"/>
        <v>59213.867251720578</v>
      </c>
      <c r="R195" s="1364">
        <f t="shared" si="164"/>
        <v>45525.925582197495</v>
      </c>
      <c r="S195" s="576">
        <f t="shared" si="140"/>
        <v>1.1616882397489439</v>
      </c>
      <c r="T195" s="135" t="str">
        <f t="shared" si="141"/>
        <v>No</v>
      </c>
      <c r="U195" s="1526">
        <f t="shared" si="142"/>
        <v>1</v>
      </c>
      <c r="V195" s="1494">
        <f t="shared" si="134"/>
        <v>63792.230057643828</v>
      </c>
      <c r="W195" s="1527">
        <f t="shared" si="135"/>
        <v>0.38054779505581349</v>
      </c>
      <c r="X195" s="527">
        <f t="shared" si="143"/>
        <v>20024.41519009323</v>
      </c>
      <c r="Y195" s="1509">
        <f t="shared" si="144"/>
        <v>18923.661897181821</v>
      </c>
      <c r="Z195" s="1531">
        <f t="shared" si="145"/>
        <v>3897.4519949695709</v>
      </c>
      <c r="AA195" s="1531">
        <f t="shared" si="146"/>
        <v>0</v>
      </c>
      <c r="AB195" s="1531">
        <f t="shared" si="147"/>
        <v>20946.70097539921</v>
      </c>
      <c r="AC195" s="1531">
        <f t="shared" si="148"/>
        <v>63792.230057643828</v>
      </c>
      <c r="AD195" s="1005">
        <f t="shared" si="149"/>
        <v>6336.4735205701509</v>
      </c>
      <c r="AE195" s="1454">
        <f t="shared" si="150"/>
        <v>0.31390053572353249</v>
      </c>
      <c r="AF195" s="1504">
        <f t="shared" si="151"/>
        <v>0.29664524786297725</v>
      </c>
      <c r="AG195" s="1504">
        <f t="shared" si="152"/>
        <v>6.1096029899687813E-2</v>
      </c>
      <c r="AH195" s="1504">
        <f t="shared" si="165"/>
        <v>0</v>
      </c>
      <c r="AI195" s="1504">
        <f t="shared" si="153"/>
        <v>0.3283581865138025</v>
      </c>
      <c r="AJ195" s="1504">
        <f t="shared" si="154"/>
        <v>1</v>
      </c>
      <c r="AK195" s="1555">
        <f t="shared" si="155"/>
        <v>20024.41519009323</v>
      </c>
      <c r="AL195" s="1556">
        <f t="shared" si="156"/>
        <v>0</v>
      </c>
      <c r="AM195" s="1556">
        <f t="shared" si="157"/>
        <v>0</v>
      </c>
      <c r="AN195" s="1556">
        <f t="shared" si="158"/>
        <v>20024.41519009323</v>
      </c>
      <c r="AO195" s="1543">
        <f t="shared" si="159"/>
        <v>0</v>
      </c>
    </row>
    <row r="196" spans="1:41">
      <c r="A196" s="873">
        <f>'Input data'!A136</f>
        <v>2036</v>
      </c>
      <c r="B196" s="1551">
        <f>'Input data'!B136</f>
        <v>69.322810489383542</v>
      </c>
      <c r="C196" s="1550">
        <f>'Input data'!C136</f>
        <v>5959.8602057408698</v>
      </c>
      <c r="D196" s="1511">
        <f>'Input data'!E136</f>
        <v>24482482.614495005</v>
      </c>
      <c r="E196" s="1508">
        <f>'Input data'!J136*C196</f>
        <v>71703.35006469686</v>
      </c>
      <c r="F196" s="1509">
        <f>'Input data'!L136</f>
        <v>96185.832679191866</v>
      </c>
      <c r="G196" s="1557">
        <f t="shared" si="171"/>
        <v>13687.941669523079</v>
      </c>
      <c r="H196" s="1509">
        <f t="shared" si="160"/>
        <v>50431.592281149438</v>
      </c>
      <c r="I196" s="1511">
        <f t="shared" si="136"/>
        <v>24482.482614495006</v>
      </c>
      <c r="J196" s="1504">
        <f t="shared" si="170"/>
        <v>0.4</v>
      </c>
      <c r="K196" s="1512">
        <f t="shared" si="162"/>
        <v>8286.1516056803648</v>
      </c>
      <c r="L196" s="1512">
        <f t="shared" si="137"/>
        <v>0</v>
      </c>
      <c r="M196" s="1511">
        <f t="shared" si="163"/>
        <v>8286.1516056803648</v>
      </c>
      <c r="N196" s="1454">
        <f t="shared" si="169"/>
        <v>0.5</v>
      </c>
      <c r="O196" s="530">
        <f t="shared" si="138"/>
        <v>751.91700000000026</v>
      </c>
      <c r="P196" s="1210">
        <f t="shared" si="166"/>
        <v>9038.0686056803643</v>
      </c>
      <c r="Q196" s="1364">
        <f t="shared" si="139"/>
        <v>55081.465344992146</v>
      </c>
      <c r="R196" s="1364">
        <f t="shared" si="164"/>
        <v>41393.52367546907</v>
      </c>
      <c r="S196" s="576">
        <f t="shared" si="140"/>
        <v>1.0247957144934146</v>
      </c>
      <c r="T196" s="135" t="str">
        <f t="shared" si="141"/>
        <v>No</v>
      </c>
      <c r="U196" s="1526">
        <f t="shared" si="142"/>
        <v>1</v>
      </c>
      <c r="V196" s="1494">
        <f t="shared" si="134"/>
        <v>55793.856902896725</v>
      </c>
      <c r="W196" s="1527">
        <f t="shared" si="135"/>
        <v>0.41993685193758523</v>
      </c>
      <c r="X196" s="527">
        <f t="shared" si="143"/>
        <v>14689.489568697003</v>
      </c>
      <c r="Y196" s="1509">
        <f t="shared" si="144"/>
        <v>15534.864037229972</v>
      </c>
      <c r="Z196" s="1531">
        <f t="shared" si="145"/>
        <v>3992.1553192580318</v>
      </c>
      <c r="AA196" s="1531">
        <f t="shared" si="146"/>
        <v>0</v>
      </c>
      <c r="AB196" s="1531">
        <f t="shared" si="147"/>
        <v>21577.347977711717</v>
      </c>
      <c r="AC196" s="1531">
        <f t="shared" si="148"/>
        <v>55793.856902896725</v>
      </c>
      <c r="AD196" s="1005">
        <f t="shared" si="149"/>
        <v>1001.5478991739237</v>
      </c>
      <c r="AE196" s="1454">
        <f t="shared" si="150"/>
        <v>0.26328148624430997</v>
      </c>
      <c r="AF196" s="1504">
        <f t="shared" si="151"/>
        <v>0.27843323440189394</v>
      </c>
      <c r="AG196" s="1504">
        <f t="shared" si="152"/>
        <v>7.1551879379945962E-2</v>
      </c>
      <c r="AH196" s="1504">
        <f t="shared" si="165"/>
        <v>0</v>
      </c>
      <c r="AI196" s="1504">
        <f t="shared" si="153"/>
        <v>0.38673339997385009</v>
      </c>
      <c r="AJ196" s="1504">
        <f t="shared" si="154"/>
        <v>1</v>
      </c>
      <c r="AK196" s="1555">
        <f t="shared" si="155"/>
        <v>14689.489568697003</v>
      </c>
      <c r="AL196" s="1556">
        <f t="shared" si="156"/>
        <v>0</v>
      </c>
      <c r="AM196" s="1556">
        <f t="shared" si="157"/>
        <v>0</v>
      </c>
      <c r="AN196" s="1556">
        <f t="shared" si="158"/>
        <v>14689.489568697003</v>
      </c>
      <c r="AO196" s="1543">
        <f t="shared" si="159"/>
        <v>0</v>
      </c>
    </row>
    <row r="197" spans="1:41">
      <c r="A197" s="873">
        <f>'Input data'!A137</f>
        <v>2037</v>
      </c>
      <c r="B197" s="1551">
        <f>'Input data'!B137</f>
        <v>69.830333629884052</v>
      </c>
      <c r="C197" s="1550">
        <f>'Input data'!C137</f>
        <v>6149.2553125491713</v>
      </c>
      <c r="D197" s="1511">
        <f>'Input data'!E137</f>
        <v>21483552.95875904</v>
      </c>
      <c r="E197" s="1508">
        <f>'Input data'!J137*C197</f>
        <v>73981.971236202691</v>
      </c>
      <c r="F197" s="1509">
        <f>'Input data'!L137</f>
        <v>95465.524194961734</v>
      </c>
      <c r="G197" s="1557">
        <f t="shared" si="171"/>
        <v>13687.941669523079</v>
      </c>
      <c r="H197" s="1509">
        <f t="shared" si="160"/>
        <v>48924.729015329154</v>
      </c>
      <c r="I197" s="1511">
        <f t="shared" si="136"/>
        <v>21483.552958759039</v>
      </c>
      <c r="J197" s="1504">
        <f t="shared" si="170"/>
        <v>0.4</v>
      </c>
      <c r="K197" s="1512">
        <f t="shared" si="162"/>
        <v>7271.1570819025073</v>
      </c>
      <c r="L197" s="1512">
        <f t="shared" si="137"/>
        <v>0</v>
      </c>
      <c r="M197" s="1511">
        <f t="shared" si="163"/>
        <v>7271.1570819025073</v>
      </c>
      <c r="N197" s="1454">
        <f t="shared" si="169"/>
        <v>0.5</v>
      </c>
      <c r="O197" s="530">
        <f t="shared" si="138"/>
        <v>751.91700000000026</v>
      </c>
      <c r="P197" s="1210">
        <f t="shared" si="166"/>
        <v>8023.0740819025077</v>
      </c>
      <c r="Q197" s="1364">
        <f t="shared" si="139"/>
        <v>54589.596602949721</v>
      </c>
      <c r="R197" s="1364">
        <f t="shared" si="164"/>
        <v>40901.654933426646</v>
      </c>
      <c r="S197" s="576">
        <f t="shared" si="140"/>
        <v>0.98086762270057259</v>
      </c>
      <c r="T197" s="135" t="str">
        <f t="shared" si="141"/>
        <v>Yes</v>
      </c>
      <c r="U197" s="1526">
        <f t="shared" si="142"/>
        <v>0.98086762270057259</v>
      </c>
      <c r="V197" s="1494">
        <f t="shared" si="134"/>
        <v>54563.869261535088</v>
      </c>
      <c r="W197" s="1527">
        <f t="shared" si="135"/>
        <v>0.42844425019755206</v>
      </c>
      <c r="X197" s="527">
        <f t="shared" si="143"/>
        <v>13687.941669523072</v>
      </c>
      <c r="Y197" s="1509">
        <f t="shared" si="144"/>
        <v>14517.759922862664</v>
      </c>
      <c r="Z197" s="1531">
        <f t="shared" si="145"/>
        <v>4095.1250637445028</v>
      </c>
      <c r="AA197" s="1531">
        <f t="shared" si="146"/>
        <v>0</v>
      </c>
      <c r="AB197" s="1531">
        <f t="shared" si="147"/>
        <v>22263.042605404848</v>
      </c>
      <c r="AC197" s="1531">
        <f t="shared" si="148"/>
        <v>54563.869261535088</v>
      </c>
      <c r="AD197" s="1005">
        <f t="shared" si="149"/>
        <v>0</v>
      </c>
      <c r="AE197" s="1454">
        <f t="shared" si="150"/>
        <v>0.25086090584804649</v>
      </c>
      <c r="AF197" s="1504">
        <f t="shared" si="151"/>
        <v>0.26606910615660806</v>
      </c>
      <c r="AG197" s="1504">
        <f t="shared" si="152"/>
        <v>7.5051955060514181E-2</v>
      </c>
      <c r="AH197" s="1504">
        <f t="shared" si="165"/>
        <v>0</v>
      </c>
      <c r="AI197" s="1504">
        <f t="shared" si="153"/>
        <v>0.40801803293483119</v>
      </c>
      <c r="AJ197" s="1504">
        <f t="shared" si="154"/>
        <v>0.99999999999999989</v>
      </c>
      <c r="AK197" s="1555">
        <f t="shared" si="155"/>
        <v>12890.131775255421</v>
      </c>
      <c r="AL197" s="1556">
        <f t="shared" si="156"/>
        <v>755.44357662790765</v>
      </c>
      <c r="AM197" s="1556">
        <f t="shared" si="157"/>
        <v>42.366317639742377</v>
      </c>
      <c r="AN197" s="1556">
        <f t="shared" si="158"/>
        <v>13687.94166952307</v>
      </c>
      <c r="AO197" s="1543">
        <f t="shared" si="159"/>
        <v>0</v>
      </c>
    </row>
    <row r="198" spans="1:41">
      <c r="A198" s="873">
        <f>'Input data'!A138</f>
        <v>2038</v>
      </c>
      <c r="B198" s="1551">
        <f>'Input data'!B138</f>
        <v>70.341572426693446</v>
      </c>
      <c r="C198" s="1550">
        <f>'Input data'!C138</f>
        <v>6333.0462394281813</v>
      </c>
      <c r="D198" s="1511">
        <f>'Input data'!E138</f>
        <v>18854877.897592288</v>
      </c>
      <c r="E198" s="1508">
        <f>'Input data'!J138*C198</f>
        <v>76193.168263278349</v>
      </c>
      <c r="F198" s="1509">
        <f>'Input data'!L138</f>
        <v>95048.046160870639</v>
      </c>
      <c r="G198" s="1557">
        <f t="shared" si="171"/>
        <v>13687.941669523079</v>
      </c>
      <c r="H198" s="1509">
        <f t="shared" si="160"/>
        <v>47726.643556961499</v>
      </c>
      <c r="I198" s="1511">
        <f t="shared" si="136"/>
        <v>18854.877897592287</v>
      </c>
      <c r="J198" s="1504">
        <f t="shared" si="170"/>
        <v>0.4</v>
      </c>
      <c r="K198" s="1512">
        <f t="shared" si="162"/>
        <v>6381.4760629521288</v>
      </c>
      <c r="L198" s="1512">
        <f t="shared" si="137"/>
        <v>0</v>
      </c>
      <c r="M198" s="1511">
        <f t="shared" si="163"/>
        <v>6381.4760629521288</v>
      </c>
      <c r="N198" s="1454">
        <f t="shared" si="169"/>
        <v>0.5</v>
      </c>
      <c r="O198" s="530">
        <f t="shared" si="138"/>
        <v>751.91700000000026</v>
      </c>
      <c r="P198" s="1210">
        <f t="shared" si="166"/>
        <v>7133.3930629521292</v>
      </c>
      <c r="Q198" s="1364">
        <f t="shared" si="139"/>
        <v>54281.192163532454</v>
      </c>
      <c r="R198" s="1364">
        <f t="shared" si="164"/>
        <v>40593.250494009379</v>
      </c>
      <c r="S198" s="576">
        <f t="shared" si="140"/>
        <v>0.94472630190030593</v>
      </c>
      <c r="T198" s="135" t="str">
        <f t="shared" si="141"/>
        <v>Yes</v>
      </c>
      <c r="U198" s="1526">
        <f t="shared" si="142"/>
        <v>0.94472630190030593</v>
      </c>
      <c r="V198" s="1494">
        <f t="shared" si="134"/>
        <v>54454.795666861275</v>
      </c>
      <c r="W198" s="1527">
        <f t="shared" si="135"/>
        <v>0.42708137761511178</v>
      </c>
      <c r="X198" s="527">
        <f t="shared" si="143"/>
        <v>13687.941669523078</v>
      </c>
      <c r="Y198" s="1509">
        <f t="shared" si="144"/>
        <v>13643.358446164657</v>
      </c>
      <c r="Z198" s="1531">
        <f t="shared" si="145"/>
        <v>4195.0479450616976</v>
      </c>
      <c r="AA198" s="1531">
        <f t="shared" si="146"/>
        <v>0</v>
      </c>
      <c r="AB198" s="1531">
        <f t="shared" si="147"/>
        <v>22928.447606111837</v>
      </c>
      <c r="AC198" s="1531">
        <f t="shared" si="148"/>
        <v>54454.795666861275</v>
      </c>
      <c r="AD198" s="1005">
        <f t="shared" si="149"/>
        <v>0</v>
      </c>
      <c r="AE198" s="1454">
        <f t="shared" si="150"/>
        <v>0.25136338318597234</v>
      </c>
      <c r="AF198" s="1504">
        <f t="shared" si="151"/>
        <v>0.25054466331360026</v>
      </c>
      <c r="AG198" s="1504">
        <f t="shared" si="152"/>
        <v>7.7037254362789104E-2</v>
      </c>
      <c r="AH198" s="1504">
        <f t="shared" si="165"/>
        <v>0</v>
      </c>
      <c r="AI198" s="1504">
        <f t="shared" si="153"/>
        <v>0.42105469913763816</v>
      </c>
      <c r="AJ198" s="1504">
        <f t="shared" si="154"/>
        <v>0.99999999999999989</v>
      </c>
      <c r="AK198" s="1555">
        <f t="shared" si="155"/>
        <v>11312.926738555372</v>
      </c>
      <c r="AL198" s="1556">
        <f t="shared" si="156"/>
        <v>2247.7176307674858</v>
      </c>
      <c r="AM198" s="1556">
        <f t="shared" si="157"/>
        <v>127.29730020021991</v>
      </c>
      <c r="AN198" s="1556">
        <f t="shared" si="158"/>
        <v>13687.941669523078</v>
      </c>
      <c r="AO198" s="1543">
        <f t="shared" si="159"/>
        <v>0</v>
      </c>
    </row>
    <row r="199" spans="1:41">
      <c r="A199" s="873">
        <f>'Input data'!A139</f>
        <v>2039</v>
      </c>
      <c r="B199" s="1551">
        <f>'Input data'!B139</f>
        <v>70.856554082712819</v>
      </c>
      <c r="C199" s="1550">
        <f>'Input data'!C139</f>
        <v>6520.8289920741563</v>
      </c>
      <c r="D199" s="1511">
        <f>'Input data'!E139</f>
        <v>16226202.836425532</v>
      </c>
      <c r="E199" s="1508">
        <f>'Input data'!J139*C199</f>
        <v>78452.391128290663</v>
      </c>
      <c r="F199" s="1509">
        <f>'Input data'!L139</f>
        <v>94678.593964716187</v>
      </c>
      <c r="G199" s="1557">
        <f t="shared" si="171"/>
        <v>13687.941669523079</v>
      </c>
      <c r="H199" s="1509">
        <f t="shared" si="160"/>
        <v>46556.115666333368</v>
      </c>
      <c r="I199" s="1511">
        <f t="shared" si="136"/>
        <v>16226.202836425531</v>
      </c>
      <c r="J199" s="1504">
        <f t="shared" si="170"/>
        <v>0.4</v>
      </c>
      <c r="K199" s="1512">
        <f t="shared" si="162"/>
        <v>5491.7950440017503</v>
      </c>
      <c r="L199" s="1512">
        <f t="shared" si="137"/>
        <v>0</v>
      </c>
      <c r="M199" s="1511">
        <f t="shared" si="163"/>
        <v>5491.7950440017503</v>
      </c>
      <c r="N199" s="1454">
        <f t="shared" si="169"/>
        <v>0.5</v>
      </c>
      <c r="O199" s="530">
        <f t="shared" si="138"/>
        <v>751.91700000000026</v>
      </c>
      <c r="P199" s="1210">
        <f t="shared" si="166"/>
        <v>6243.7120440017507</v>
      </c>
      <c r="Q199" s="1364">
        <f t="shared" si="139"/>
        <v>54000.34529185469</v>
      </c>
      <c r="R199" s="1364">
        <f t="shared" si="164"/>
        <v>40312.403622331607</v>
      </c>
      <c r="S199" s="576">
        <f t="shared" si="140"/>
        <v>0.9107138015161913</v>
      </c>
      <c r="T199" s="135" t="str">
        <f t="shared" si="141"/>
        <v>Yes</v>
      </c>
      <c r="U199" s="1526">
        <f t="shared" si="142"/>
        <v>0.9107138015161913</v>
      </c>
      <c r="V199" s="1494">
        <f t="shared" si="134"/>
        <v>54366.190342384602</v>
      </c>
      <c r="W199" s="1527">
        <f t="shared" si="135"/>
        <v>0.42578160420669942</v>
      </c>
      <c r="X199" s="527">
        <f t="shared" si="143"/>
        <v>13687.941669523083</v>
      </c>
      <c r="Y199" s="1509">
        <f t="shared" si="144"/>
        <v>12772.802789298486</v>
      </c>
      <c r="Z199" s="1531">
        <f t="shared" si="145"/>
        <v>4297.1410898359891</v>
      </c>
      <c r="AA199" s="1531">
        <f t="shared" si="146"/>
        <v>0</v>
      </c>
      <c r="AB199" s="1531">
        <f t="shared" si="147"/>
        <v>23608.304793727042</v>
      </c>
      <c r="AC199" s="1531">
        <f t="shared" si="148"/>
        <v>54366.190342384602</v>
      </c>
      <c r="AD199" s="1005">
        <f t="shared" si="149"/>
        <v>0</v>
      </c>
      <c r="AE199" s="1454">
        <f t="shared" si="150"/>
        <v>0.25177305202589823</v>
      </c>
      <c r="AF199" s="1504">
        <f t="shared" si="151"/>
        <v>0.23494018449441803</v>
      </c>
      <c r="AG199" s="1504">
        <f t="shared" si="152"/>
        <v>7.9040688022715494E-2</v>
      </c>
      <c r="AH199" s="1504">
        <f t="shared" si="165"/>
        <v>0</v>
      </c>
      <c r="AI199" s="1504">
        <f t="shared" si="153"/>
        <v>0.43424607545696825</v>
      </c>
      <c r="AJ199" s="1504">
        <f t="shared" si="154"/>
        <v>1</v>
      </c>
      <c r="AK199" s="1555">
        <f t="shared" si="155"/>
        <v>9735.7217018553183</v>
      </c>
      <c r="AL199" s="1556">
        <f t="shared" si="156"/>
        <v>3738.5028374789199</v>
      </c>
      <c r="AM199" s="1556">
        <f t="shared" si="157"/>
        <v>213.7171301888435</v>
      </c>
      <c r="AN199" s="1556">
        <f t="shared" si="158"/>
        <v>13687.941669523081</v>
      </c>
      <c r="AO199" s="1543">
        <f t="shared" si="159"/>
        <v>0</v>
      </c>
    </row>
    <row r="200" spans="1:41">
      <c r="A200" s="873">
        <f>'Input data'!A140</f>
        <v>2040</v>
      </c>
      <c r="B200" s="1551">
        <f>'Input data'!B140</f>
        <v>71.375305999999995</v>
      </c>
      <c r="C200" s="1550">
        <f>'Input data'!C140</f>
        <v>6710.9821193375428</v>
      </c>
      <c r="D200" s="1511">
        <f>'Input data'!E140</f>
        <v>13597527.775258772</v>
      </c>
      <c r="E200" s="1508">
        <f>'Input data'!J140*C200</f>
        <v>80740.132078477691</v>
      </c>
      <c r="F200" s="1509">
        <f>'Input data'!L140</f>
        <v>94337.659853736463</v>
      </c>
      <c r="G200" s="1557">
        <f t="shared" si="171"/>
        <v>13687.941669523079</v>
      </c>
      <c r="H200" s="1509">
        <f t="shared" si="160"/>
        <v>45401.951656019795</v>
      </c>
      <c r="I200" s="1511">
        <f t="shared" si="136"/>
        <v>13597.527775258772</v>
      </c>
      <c r="J200" s="1504">
        <f t="shared" si="170"/>
        <v>0.4</v>
      </c>
      <c r="K200" s="1512">
        <f t="shared" si="162"/>
        <v>4602.1140250513708</v>
      </c>
      <c r="L200" s="1512">
        <f t="shared" si="137"/>
        <v>0</v>
      </c>
      <c r="M200" s="1511">
        <f t="shared" si="163"/>
        <v>4602.1140250513708</v>
      </c>
      <c r="N200" s="1454">
        <f t="shared" si="169"/>
        <v>0.5</v>
      </c>
      <c r="O200" s="530">
        <f t="shared" si="138"/>
        <v>751.91700000000026</v>
      </c>
      <c r="P200" s="1210">
        <f t="shared" si="166"/>
        <v>5354.0310250513712</v>
      </c>
      <c r="Q200" s="1364">
        <f t="shared" si="139"/>
        <v>53735.862300491506</v>
      </c>
      <c r="R200" s="1364">
        <f t="shared" si="164"/>
        <v>40047.920630968423</v>
      </c>
      <c r="S200" s="576">
        <f t="shared" si="140"/>
        <v>0.87868040739781827</v>
      </c>
      <c r="T200" s="135" t="str">
        <f t="shared" si="141"/>
        <v>Yes</v>
      </c>
      <c r="U200" s="1526">
        <f t="shared" si="142"/>
        <v>0.87868040739781827</v>
      </c>
      <c r="V200" s="1494">
        <f t="shared" si="134"/>
        <v>54289.739222768047</v>
      </c>
      <c r="W200" s="1527">
        <f t="shared" si="135"/>
        <v>0.42451679099375317</v>
      </c>
      <c r="X200" s="527">
        <f t="shared" si="143"/>
        <v>13687.941669523081</v>
      </c>
      <c r="Y200" s="1509">
        <f t="shared" si="144"/>
        <v>11904.530807683859</v>
      </c>
      <c r="Z200" s="1531">
        <f t="shared" si="145"/>
        <v>4400.5229525333853</v>
      </c>
      <c r="AA200" s="1531">
        <f t="shared" si="146"/>
        <v>0</v>
      </c>
      <c r="AB200" s="1531">
        <f t="shared" si="147"/>
        <v>24296.743793027723</v>
      </c>
      <c r="AC200" s="1531">
        <f t="shared" si="148"/>
        <v>54289.739222768047</v>
      </c>
      <c r="AD200" s="1005">
        <f t="shared" si="149"/>
        <v>0</v>
      </c>
      <c r="AE200" s="1454">
        <f t="shared" si="150"/>
        <v>0.25212760027004566</v>
      </c>
      <c r="AF200" s="1504">
        <f t="shared" si="151"/>
        <v>0.21927773052723254</v>
      </c>
      <c r="AG200" s="1504">
        <f t="shared" si="152"/>
        <v>8.1056255114371464E-2</v>
      </c>
      <c r="AH200" s="1504">
        <f t="shared" si="165"/>
        <v>0</v>
      </c>
      <c r="AI200" s="1504">
        <f t="shared" si="153"/>
        <v>0.44753841408835038</v>
      </c>
      <c r="AJ200" s="1504">
        <f t="shared" si="154"/>
        <v>1</v>
      </c>
      <c r="AK200" s="1555">
        <f t="shared" si="155"/>
        <v>8158.5166651552627</v>
      </c>
      <c r="AL200" s="1556">
        <f t="shared" si="156"/>
        <v>5227.9039033528143</v>
      </c>
      <c r="AM200" s="1556">
        <f t="shared" si="157"/>
        <v>301.5211010150029</v>
      </c>
      <c r="AN200" s="1556">
        <f t="shared" si="158"/>
        <v>13687.941669523081</v>
      </c>
      <c r="AO200" s="1543">
        <f t="shared" si="159"/>
        <v>0</v>
      </c>
    </row>
    <row r="201" spans="1:41">
      <c r="A201" s="873">
        <f>'Input data'!A141</f>
        <v>2041</v>
      </c>
      <c r="B201" s="1551">
        <f>'Input data'!B141</f>
        <v>71.818612994947316</v>
      </c>
      <c r="C201" s="1550">
        <f>'Input data'!C141</f>
        <v>6920.8570404241891</v>
      </c>
      <c r="D201" s="1511">
        <f>'Input data'!E141</f>
        <v>11135124.826855309</v>
      </c>
      <c r="E201" s="1508">
        <f>'Input data'!J141*C201</f>
        <v>83265.146829994948</v>
      </c>
      <c r="F201" s="1509">
        <f>'Input data'!L141</f>
        <v>94400.271656850266</v>
      </c>
      <c r="G201" s="1557">
        <f t="shared" si="171"/>
        <v>13687.941669523079</v>
      </c>
      <c r="H201" s="1509">
        <f t="shared" si="160"/>
        <v>44539.97548246845</v>
      </c>
      <c r="I201" s="1511">
        <f t="shared" si="136"/>
        <v>11135.12482685531</v>
      </c>
      <c r="J201" s="1504">
        <f t="shared" si="170"/>
        <v>0.4</v>
      </c>
      <c r="K201" s="1512">
        <f t="shared" si="162"/>
        <v>3768.7081786742888</v>
      </c>
      <c r="L201" s="1512">
        <f t="shared" si="137"/>
        <v>0</v>
      </c>
      <c r="M201" s="1511">
        <f t="shared" si="163"/>
        <v>3768.7081786742888</v>
      </c>
      <c r="N201" s="1454">
        <f t="shared" si="169"/>
        <v>0.5</v>
      </c>
      <c r="O201" s="530">
        <f t="shared" si="138"/>
        <v>751.91700000000026</v>
      </c>
      <c r="P201" s="1210">
        <f t="shared" si="166"/>
        <v>4520.6251786742887</v>
      </c>
      <c r="Q201" s="1364">
        <f t="shared" si="139"/>
        <v>53707.291973317238</v>
      </c>
      <c r="R201" s="1364">
        <f t="shared" si="164"/>
        <v>40019.350303794155</v>
      </c>
      <c r="S201" s="576">
        <f t="shared" si="140"/>
        <v>0.85100084146877986</v>
      </c>
      <c r="T201" s="135" t="str">
        <f t="shared" si="141"/>
        <v>Yes</v>
      </c>
      <c r="U201" s="1526">
        <f t="shared" si="142"/>
        <v>0.85100084146877986</v>
      </c>
      <c r="V201" s="1494">
        <f t="shared" si="134"/>
        <v>54380.92135305611</v>
      </c>
      <c r="W201" s="1527">
        <f t="shared" si="135"/>
        <v>0.42393257563141884</v>
      </c>
      <c r="X201" s="527">
        <f t="shared" si="143"/>
        <v>13687.941669523083</v>
      </c>
      <c r="Y201" s="1509">
        <f t="shared" si="144"/>
        <v>11121.768116141986</v>
      </c>
      <c r="Z201" s="1531">
        <f t="shared" si="145"/>
        <v>4514.6270989529849</v>
      </c>
      <c r="AA201" s="1531">
        <f t="shared" si="146"/>
        <v>0</v>
      </c>
      <c r="AB201" s="1531">
        <f t="shared" si="147"/>
        <v>25056.584468438061</v>
      </c>
      <c r="AC201" s="1531">
        <f t="shared" si="148"/>
        <v>54380.92135305611</v>
      </c>
      <c r="AD201" s="1005">
        <f t="shared" si="149"/>
        <v>0</v>
      </c>
      <c r="AE201" s="1454">
        <f t="shared" si="150"/>
        <v>0.25170485032162565</v>
      </c>
      <c r="AF201" s="1504">
        <f t="shared" si="151"/>
        <v>0.2045159927309132</v>
      </c>
      <c r="AG201" s="1504">
        <f t="shared" si="152"/>
        <v>8.3018584213437038E-2</v>
      </c>
      <c r="AH201" s="1504">
        <f t="shared" si="165"/>
        <v>0</v>
      </c>
      <c r="AI201" s="1504">
        <f t="shared" si="153"/>
        <v>0.46076057273402421</v>
      </c>
      <c r="AJ201" s="1504">
        <f t="shared" si="154"/>
        <v>1</v>
      </c>
      <c r="AK201" s="1555">
        <f t="shared" si="155"/>
        <v>6681.0748961131849</v>
      </c>
      <c r="AL201" s="1556">
        <f t="shared" si="156"/>
        <v>6621.467705152977</v>
      </c>
      <c r="AM201" s="1556">
        <f t="shared" si="157"/>
        <v>385.39906825692015</v>
      </c>
      <c r="AN201" s="1556">
        <f t="shared" si="158"/>
        <v>13687.941669523083</v>
      </c>
      <c r="AO201" s="1543">
        <f t="shared" si="159"/>
        <v>0</v>
      </c>
    </row>
    <row r="202" spans="1:41">
      <c r="A202" s="873">
        <f>'Input data'!A142</f>
        <v>2042</v>
      </c>
      <c r="B202" s="1551">
        <f>'Input data'!B142</f>
        <v>72.264673338395411</v>
      </c>
      <c r="C202" s="1550">
        <f>'Input data'!C142</f>
        <v>7114.4180841945599</v>
      </c>
      <c r="D202" s="1511">
        <f>'Input data'!E142</f>
        <v>8672721.8784518428</v>
      </c>
      <c r="E202" s="1508">
        <f>'Input data'!J142*C202</f>
        <v>85593.88857916987</v>
      </c>
      <c r="F202" s="1509">
        <f>'Input data'!L142</f>
        <v>94266.610457621719</v>
      </c>
      <c r="G202" s="1557">
        <f t="shared" si="171"/>
        <v>13687.941669523079</v>
      </c>
      <c r="H202" s="1509">
        <f t="shared" si="160"/>
        <v>43565.376462760411</v>
      </c>
      <c r="I202" s="1511">
        <f t="shared" si="136"/>
        <v>8672.7218784518427</v>
      </c>
      <c r="J202" s="1504">
        <f t="shared" si="170"/>
        <v>0.4</v>
      </c>
      <c r="K202" s="1512">
        <f t="shared" si="162"/>
        <v>2935.3023322972049</v>
      </c>
      <c r="L202" s="1512">
        <f t="shared" si="137"/>
        <v>0</v>
      </c>
      <c r="M202" s="1511">
        <f t="shared" si="163"/>
        <v>2935.3023322972049</v>
      </c>
      <c r="N202" s="1454">
        <f t="shared" si="169"/>
        <v>0.5</v>
      </c>
      <c r="O202" s="530">
        <f t="shared" si="138"/>
        <v>751.91700000000026</v>
      </c>
      <c r="P202" s="1210">
        <f t="shared" si="166"/>
        <v>3687.2193322972053</v>
      </c>
      <c r="Q202" s="1364">
        <f t="shared" si="139"/>
        <v>53566.098799986285</v>
      </c>
      <c r="R202" s="1364">
        <f t="shared" si="164"/>
        <v>39878.157130463209</v>
      </c>
      <c r="S202" s="576">
        <f t="shared" si="140"/>
        <v>0.8245683212300835</v>
      </c>
      <c r="T202" s="135" t="str">
        <f t="shared" si="141"/>
        <v>Yes</v>
      </c>
      <c r="U202" s="1526">
        <f t="shared" si="142"/>
        <v>0.8245683212300835</v>
      </c>
      <c r="V202" s="1494">
        <f t="shared" si="134"/>
        <v>54388.45332715851</v>
      </c>
      <c r="W202" s="1527">
        <f t="shared" si="135"/>
        <v>0.42303586537028126</v>
      </c>
      <c r="X202" s="527">
        <f t="shared" si="143"/>
        <v>13687.941669523076</v>
      </c>
      <c r="Y202" s="1509">
        <f t="shared" si="144"/>
        <v>10323.288247403594</v>
      </c>
      <c r="Z202" s="1531">
        <f t="shared" si="145"/>
        <v>4619.8617671313086</v>
      </c>
      <c r="AA202" s="1531">
        <f t="shared" si="146"/>
        <v>0</v>
      </c>
      <c r="AB202" s="1531">
        <f t="shared" si="147"/>
        <v>25757.361643100532</v>
      </c>
      <c r="AC202" s="1531">
        <f t="shared" si="148"/>
        <v>54388.45332715851</v>
      </c>
      <c r="AD202" s="1005">
        <f t="shared" si="149"/>
        <v>0</v>
      </c>
      <c r="AE202" s="1454">
        <f t="shared" si="150"/>
        <v>0.25166999302567211</v>
      </c>
      <c r="AF202" s="1504">
        <f t="shared" si="151"/>
        <v>0.18980661548337741</v>
      </c>
      <c r="AG202" s="1504">
        <f t="shared" si="152"/>
        <v>8.4941958899655112E-2</v>
      </c>
      <c r="AH202" s="1504">
        <f t="shared" si="165"/>
        <v>0</v>
      </c>
      <c r="AI202" s="1504">
        <f t="shared" si="153"/>
        <v>0.47358143259129537</v>
      </c>
      <c r="AJ202" s="1504">
        <f t="shared" si="154"/>
        <v>1</v>
      </c>
      <c r="AK202" s="1555">
        <f t="shared" si="155"/>
        <v>5203.6331270711053</v>
      </c>
      <c r="AL202" s="1556">
        <f t="shared" si="156"/>
        <v>8014.1593522355433</v>
      </c>
      <c r="AM202" s="1556">
        <f t="shared" si="157"/>
        <v>470.14919021642555</v>
      </c>
      <c r="AN202" s="1556">
        <f t="shared" si="158"/>
        <v>13687.941669523074</v>
      </c>
      <c r="AO202" s="1543">
        <f t="shared" si="159"/>
        <v>0</v>
      </c>
    </row>
    <row r="203" spans="1:41">
      <c r="A203" s="873">
        <f>'Input data'!A143</f>
        <v>2043</v>
      </c>
      <c r="B203" s="1551">
        <f>'Input data'!B143</f>
        <v>72.713504131197794</v>
      </c>
      <c r="C203" s="1550">
        <f>'Input data'!C143</f>
        <v>7308.347295357521</v>
      </c>
      <c r="D203" s="1511">
        <f>'Input data'!E143</f>
        <v>6210318.9300483763</v>
      </c>
      <c r="E203" s="1508">
        <f>'Input data'!J143*C203</f>
        <v>87927.059767043364</v>
      </c>
      <c r="F203" s="1509">
        <f>'Input data'!L143</f>
        <v>94137.378697091743</v>
      </c>
      <c r="G203" s="1557">
        <f t="shared" si="171"/>
        <v>13687.941669523079</v>
      </c>
      <c r="H203" s="1509">
        <f t="shared" si="160"/>
        <v>42593.319086514079</v>
      </c>
      <c r="I203" s="1511">
        <f t="shared" si="136"/>
        <v>6210.3189300483764</v>
      </c>
      <c r="J203" s="1504">
        <f t="shared" si="170"/>
        <v>0.4</v>
      </c>
      <c r="K203" s="1512">
        <f t="shared" si="162"/>
        <v>2101.8964859201214</v>
      </c>
      <c r="L203" s="1512">
        <f t="shared" si="137"/>
        <v>0</v>
      </c>
      <c r="M203" s="1511">
        <f t="shared" si="163"/>
        <v>2101.8964859201214</v>
      </c>
      <c r="N203" s="1454">
        <f t="shared" si="169"/>
        <v>0.5</v>
      </c>
      <c r="O203" s="530">
        <f t="shared" si="138"/>
        <v>751.91700000000026</v>
      </c>
      <c r="P203" s="1210">
        <f t="shared" si="166"/>
        <v>2853.8134859201218</v>
      </c>
      <c r="Q203" s="1364">
        <f t="shared" si="139"/>
        <v>53427.447270117031</v>
      </c>
      <c r="R203" s="1364">
        <f t="shared" si="164"/>
        <v>39739.505600593955</v>
      </c>
      <c r="S203" s="576">
        <f t="shared" si="140"/>
        <v>0.79956743288108301</v>
      </c>
      <c r="T203" s="135" t="str">
        <f t="shared" si="141"/>
        <v>Yes</v>
      </c>
      <c r="U203" s="1526">
        <f t="shared" si="142"/>
        <v>0.79956743288108301</v>
      </c>
      <c r="V203" s="1494">
        <f t="shared" si="134"/>
        <v>54397.873096497788</v>
      </c>
      <c r="W203" s="1527">
        <f t="shared" si="135"/>
        <v>0.42214374513725073</v>
      </c>
      <c r="X203" s="527">
        <f t="shared" si="143"/>
        <v>13687.941669523074</v>
      </c>
      <c r="Y203" s="1509">
        <f t="shared" si="144"/>
        <v>9525.1630798827682</v>
      </c>
      <c r="Z203" s="1531">
        <f t="shared" si="145"/>
        <v>4725.2965994162041</v>
      </c>
      <c r="AA203" s="1531">
        <f t="shared" si="146"/>
        <v>0</v>
      </c>
      <c r="AB203" s="1531">
        <f t="shared" si="147"/>
        <v>26459.471747675743</v>
      </c>
      <c r="AC203" s="1531">
        <f t="shared" si="148"/>
        <v>54397.873096497788</v>
      </c>
      <c r="AD203" s="1005">
        <f t="shared" si="149"/>
        <v>0</v>
      </c>
      <c r="AE203" s="1454">
        <f t="shared" si="150"/>
        <v>0.25162641276878017</v>
      </c>
      <c r="AF203" s="1504">
        <f t="shared" si="151"/>
        <v>0.17510175559595567</v>
      </c>
      <c r="AG203" s="1504">
        <f t="shared" si="152"/>
        <v>8.6865466063974203E-2</v>
      </c>
      <c r="AH203" s="1504">
        <f t="shared" si="165"/>
        <v>0</v>
      </c>
      <c r="AI203" s="1504">
        <f t="shared" si="153"/>
        <v>0.48640636557128997</v>
      </c>
      <c r="AJ203" s="1504">
        <f t="shared" si="154"/>
        <v>1</v>
      </c>
      <c r="AK203" s="1555">
        <f t="shared" si="155"/>
        <v>3726.1913580290257</v>
      </c>
      <c r="AL203" s="1556">
        <f t="shared" si="156"/>
        <v>9405.8497493109044</v>
      </c>
      <c r="AM203" s="1556">
        <f t="shared" si="157"/>
        <v>555.90056218314351</v>
      </c>
      <c r="AN203" s="1556">
        <f t="shared" si="158"/>
        <v>13687.941669523074</v>
      </c>
      <c r="AO203" s="1543">
        <f t="shared" si="159"/>
        <v>0</v>
      </c>
    </row>
    <row r="204" spans="1:41">
      <c r="A204" s="873">
        <f>'Input data'!A144</f>
        <v>2044</v>
      </c>
      <c r="B204" s="1551">
        <f>'Input data'!B144</f>
        <v>73.165122580420132</v>
      </c>
      <c r="C204" s="1550">
        <f>'Input data'!C144</f>
        <v>7506.518596985471</v>
      </c>
      <c r="D204" s="1511">
        <f>'Input data'!E144</f>
        <v>3747915.9816449117</v>
      </c>
      <c r="E204" s="1508">
        <f>'Input data'!J144*C204</f>
        <v>90311.267738854192</v>
      </c>
      <c r="F204" s="1509">
        <f>'Input data'!L144</f>
        <v>94059.183720499102</v>
      </c>
      <c r="G204" s="1557">
        <f t="shared" si="171"/>
        <v>13687.941669523079</v>
      </c>
      <c r="H204" s="1509">
        <f t="shared" si="160"/>
        <v>41650.546980259591</v>
      </c>
      <c r="I204" s="1511">
        <f t="shared" si="136"/>
        <v>3747.9159816449119</v>
      </c>
      <c r="J204" s="1504">
        <f t="shared" si="170"/>
        <v>0.4</v>
      </c>
      <c r="K204" s="1512">
        <f t="shared" si="162"/>
        <v>1268.4906395430385</v>
      </c>
      <c r="L204" s="1512">
        <f t="shared" si="137"/>
        <v>0</v>
      </c>
      <c r="M204" s="1511">
        <f t="shared" si="163"/>
        <v>1268.4906395430385</v>
      </c>
      <c r="N204" s="1454">
        <f t="shared" si="169"/>
        <v>0.5</v>
      </c>
      <c r="O204" s="530">
        <f t="shared" si="138"/>
        <v>751.91700000000026</v>
      </c>
      <c r="P204" s="1210">
        <f t="shared" si="166"/>
        <v>2020.4076395430388</v>
      </c>
      <c r="Q204" s="1364">
        <f t="shared" si="139"/>
        <v>53318.081010239628</v>
      </c>
      <c r="R204" s="1364">
        <f t="shared" si="164"/>
        <v>39630.139340716545</v>
      </c>
      <c r="S204" s="576">
        <f t="shared" si="140"/>
        <v>0.77600662154398836</v>
      </c>
      <c r="T204" s="135" t="str">
        <f t="shared" si="141"/>
        <v>Yes</v>
      </c>
      <c r="U204" s="1526">
        <f t="shared" si="142"/>
        <v>0.77600662154398836</v>
      </c>
      <c r="V204" s="1494">
        <f t="shared" si="134"/>
        <v>54429.044379782572</v>
      </c>
      <c r="W204" s="1527">
        <f t="shared" si="135"/>
        <v>0.42133195051404215</v>
      </c>
      <c r="X204" s="527">
        <f t="shared" si="143"/>
        <v>13687.941669523087</v>
      </c>
      <c r="Y204" s="1509">
        <f t="shared" si="144"/>
        <v>8731.1248431527856</v>
      </c>
      <c r="Z204" s="1531">
        <f t="shared" si="145"/>
        <v>4833.0377582933197</v>
      </c>
      <c r="AA204" s="1531">
        <f t="shared" si="146"/>
        <v>0</v>
      </c>
      <c r="AB204" s="1531">
        <f t="shared" si="147"/>
        <v>27176.940108813385</v>
      </c>
      <c r="AC204" s="1531">
        <f t="shared" si="148"/>
        <v>54429.044379782572</v>
      </c>
      <c r="AD204" s="1005">
        <f t="shared" si="149"/>
        <v>0</v>
      </c>
      <c r="AE204" s="1454">
        <f t="shared" si="150"/>
        <v>0.25148230738747662</v>
      </c>
      <c r="AF204" s="1504">
        <f t="shared" si="151"/>
        <v>0.16041297330577281</v>
      </c>
      <c r="AG204" s="1504">
        <f t="shared" si="152"/>
        <v>8.8795197736165482E-2</v>
      </c>
      <c r="AH204" s="1504">
        <f t="shared" si="165"/>
        <v>0</v>
      </c>
      <c r="AI204" s="1504">
        <f t="shared" si="153"/>
        <v>0.49930952157058522</v>
      </c>
      <c r="AJ204" s="1504">
        <f t="shared" si="154"/>
        <v>1.0000000000000002</v>
      </c>
      <c r="AK204" s="1555">
        <f t="shared" si="155"/>
        <v>2248.7495889869469</v>
      </c>
      <c r="AL204" s="1556">
        <f t="shared" si="156"/>
        <v>10796.53299005724</v>
      </c>
      <c r="AM204" s="1556">
        <f t="shared" si="157"/>
        <v>642.65909047889772</v>
      </c>
      <c r="AN204" s="1556">
        <f t="shared" si="158"/>
        <v>13687.941669523083</v>
      </c>
      <c r="AO204" s="1543">
        <f t="shared" si="159"/>
        <v>0</v>
      </c>
    </row>
    <row r="205" spans="1:41">
      <c r="A205" s="873">
        <f>'Input data'!A145</f>
        <v>2045</v>
      </c>
      <c r="B205" s="1551">
        <f>'Input data'!B145</f>
        <v>73.619545999999971</v>
      </c>
      <c r="C205" s="1550">
        <f>'Input data'!C145</f>
        <v>7710.3236783048815</v>
      </c>
      <c r="D205" s="1511">
        <f>'Input data'!E145</f>
        <v>1285513.0332414466</v>
      </c>
      <c r="E205" s="1508">
        <f>'Input data'!J145*C205</f>
        <v>92763.255971184393</v>
      </c>
      <c r="F205" s="1509">
        <f>'Input data'!L145</f>
        <v>94048.769004425834</v>
      </c>
      <c r="G205" s="1557">
        <f t="shared" si="171"/>
        <v>13687.941669523079</v>
      </c>
      <c r="H205" s="1509">
        <f t="shared" si="160"/>
        <v>40746.667670068913</v>
      </c>
      <c r="I205" s="1511">
        <f t="shared" si="136"/>
        <v>1285.5130332414467</v>
      </c>
      <c r="J205" s="1504">
        <f t="shared" si="170"/>
        <v>0.4</v>
      </c>
      <c r="K205" s="1512">
        <f t="shared" si="162"/>
        <v>435.08479316595498</v>
      </c>
      <c r="L205" s="1512">
        <f t="shared" si="137"/>
        <v>0</v>
      </c>
      <c r="M205" s="1511">
        <f t="shared" si="163"/>
        <v>435.08479316595498</v>
      </c>
      <c r="N205" s="1454">
        <f t="shared" si="169"/>
        <v>0.5</v>
      </c>
      <c r="O205" s="530">
        <f t="shared" si="138"/>
        <v>751.91700000000026</v>
      </c>
      <c r="P205" s="1210">
        <f t="shared" si="166"/>
        <v>1187.0017931659552</v>
      </c>
      <c r="Q205" s="1364">
        <f t="shared" si="139"/>
        <v>53247.607546426036</v>
      </c>
      <c r="R205" s="1364">
        <f t="shared" si="164"/>
        <v>39559.66587690296</v>
      </c>
      <c r="S205" s="576">
        <f t="shared" si="140"/>
        <v>0.75385776213447309</v>
      </c>
      <c r="T205" s="135" t="str">
        <f t="shared" si="141"/>
        <v>Yes</v>
      </c>
      <c r="U205" s="1526">
        <f t="shared" si="142"/>
        <v>0.75385776213447309</v>
      </c>
      <c r="V205" s="1494">
        <f t="shared" si="134"/>
        <v>54489.103127522903</v>
      </c>
      <c r="W205" s="1527">
        <f t="shared" si="135"/>
        <v>0.42062927878451328</v>
      </c>
      <c r="X205" s="527">
        <f t="shared" si="143"/>
        <v>13687.941669523079</v>
      </c>
      <c r="Y205" s="1509">
        <f t="shared" si="144"/>
        <v>7942.5143236956574</v>
      </c>
      <c r="Z205" s="1531">
        <f t="shared" si="145"/>
        <v>4943.8418730466392</v>
      </c>
      <c r="AA205" s="1531">
        <f t="shared" si="146"/>
        <v>0</v>
      </c>
      <c r="AB205" s="1531">
        <f t="shared" si="147"/>
        <v>27914.805261257523</v>
      </c>
      <c r="AC205" s="1531">
        <f t="shared" si="148"/>
        <v>54489.103127522903</v>
      </c>
      <c r="AD205" s="1005">
        <f t="shared" si="149"/>
        <v>0</v>
      </c>
      <c r="AE205" s="1454">
        <f t="shared" si="150"/>
        <v>0.25120511962710551</v>
      </c>
      <c r="AF205" s="1504">
        <f t="shared" si="151"/>
        <v>0.1457633520799102</v>
      </c>
      <c r="AG205" s="1504">
        <f t="shared" si="152"/>
        <v>9.073083587880644E-2</v>
      </c>
      <c r="AH205" s="1504">
        <f t="shared" si="165"/>
        <v>0</v>
      </c>
      <c r="AI205" s="1504">
        <f t="shared" si="153"/>
        <v>0.51230069241417775</v>
      </c>
      <c r="AJ205" s="1504">
        <f t="shared" si="154"/>
        <v>0.99999999999999989</v>
      </c>
      <c r="AK205" s="1555">
        <f t="shared" si="155"/>
        <v>771.30781994486802</v>
      </c>
      <c r="AL205" s="1556">
        <f t="shared" si="156"/>
        <v>12186.228744503591</v>
      </c>
      <c r="AM205" s="1556">
        <f t="shared" si="157"/>
        <v>730.40510507461875</v>
      </c>
      <c r="AN205" s="1556">
        <f t="shared" si="158"/>
        <v>13687.941669523078</v>
      </c>
      <c r="AO205" s="1543">
        <f t="shared" si="159"/>
        <v>0</v>
      </c>
    </row>
    <row r="206" spans="1:41">
      <c r="A206" s="873">
        <f>'Input data'!A146</f>
        <v>2046</v>
      </c>
      <c r="B206" s="1551">
        <f>'Input data'!B146</f>
        <v>73.995362001779526</v>
      </c>
      <c r="C206" s="1550">
        <f>'Input data'!C146</f>
        <v>7937.3408756753133</v>
      </c>
      <c r="D206" s="1511">
        <f>'Input data'!E146</f>
        <v>1075389.49817775</v>
      </c>
      <c r="E206" s="1508">
        <f>'Input data'!J146*C206</f>
        <v>95494.510230819331</v>
      </c>
      <c r="F206" s="1509">
        <f>'Input data'!L146</f>
        <v>96569.899728997087</v>
      </c>
      <c r="G206" s="1557">
        <f t="shared" si="171"/>
        <v>13687.941669523079</v>
      </c>
      <c r="H206" s="1509">
        <f t="shared" si="160"/>
        <v>42116.689903411301</v>
      </c>
      <c r="I206" s="1511">
        <f t="shared" si="136"/>
        <v>1075.3894981777501</v>
      </c>
      <c r="J206" s="1504">
        <f t="shared" si="170"/>
        <v>0.4</v>
      </c>
      <c r="K206" s="1512">
        <f t="shared" si="162"/>
        <v>363.96800754926898</v>
      </c>
      <c r="L206" s="1512">
        <f t="shared" si="137"/>
        <v>0</v>
      </c>
      <c r="M206" s="1511">
        <f t="shared" si="163"/>
        <v>363.96800754926898</v>
      </c>
      <c r="N206" s="1454">
        <f t="shared" si="169"/>
        <v>0.5</v>
      </c>
      <c r="O206" s="530">
        <f t="shared" si="138"/>
        <v>751.91700000000026</v>
      </c>
      <c r="P206" s="1210">
        <f t="shared" si="166"/>
        <v>1115.8850075492692</v>
      </c>
      <c r="Q206" s="1364">
        <f t="shared" si="139"/>
        <v>54688.746565385118</v>
      </c>
      <c r="R206" s="1364">
        <f t="shared" si="164"/>
        <v>41000.804895862035</v>
      </c>
      <c r="S206" s="576">
        <f t="shared" si="140"/>
        <v>0.75866283890834152</v>
      </c>
      <c r="T206" s="135" t="str">
        <f t="shared" si="141"/>
        <v>Yes</v>
      </c>
      <c r="U206" s="1526">
        <f t="shared" si="142"/>
        <v>0.75866283890834152</v>
      </c>
      <c r="V206" s="1494">
        <f t="shared" si="134"/>
        <v>55569.094833135066</v>
      </c>
      <c r="W206" s="1527">
        <f t="shared" si="135"/>
        <v>0.42457126921454891</v>
      </c>
      <c r="X206" s="527">
        <f t="shared" si="143"/>
        <v>13687.941669523081</v>
      </c>
      <c r="Y206" s="1509">
        <f t="shared" si="144"/>
        <v>8077.1786739430172</v>
      </c>
      <c r="Z206" s="1531">
        <f t="shared" si="145"/>
        <v>5067.2658790898813</v>
      </c>
      <c r="AA206" s="1531">
        <f t="shared" si="146"/>
        <v>0</v>
      </c>
      <c r="AB206" s="1531">
        <f t="shared" si="147"/>
        <v>28736.70861057908</v>
      </c>
      <c r="AC206" s="1531">
        <f t="shared" si="148"/>
        <v>55569.094833135066</v>
      </c>
      <c r="AD206" s="1005">
        <f t="shared" si="149"/>
        <v>0</v>
      </c>
      <c r="AE206" s="649">
        <f t="shared" si="150"/>
        <v>0.2463229194325684</v>
      </c>
      <c r="AF206" s="417">
        <f t="shared" si="151"/>
        <v>0.14535379239480989</v>
      </c>
      <c r="AG206" s="417">
        <f t="shared" si="152"/>
        <v>9.1188562532934087E-2</v>
      </c>
      <c r="AH206" s="417">
        <f t="shared" si="165"/>
        <v>0</v>
      </c>
      <c r="AI206" s="417">
        <f t="shared" si="153"/>
        <v>0.51713472563968754</v>
      </c>
      <c r="AJ206" s="417">
        <f t="shared" si="154"/>
        <v>0.99999999999999989</v>
      </c>
      <c r="AK206" s="1497">
        <f t="shared" si="155"/>
        <v>645.23369890665003</v>
      </c>
      <c r="AL206" s="1498">
        <f t="shared" si="156"/>
        <v>12300.132863234181</v>
      </c>
      <c r="AM206" s="1498">
        <f t="shared" si="157"/>
        <v>742.57510738224892</v>
      </c>
      <c r="AN206" s="1498">
        <f t="shared" si="158"/>
        <v>13687.941669523079</v>
      </c>
      <c r="AO206" s="1184">
        <f t="shared" si="159"/>
        <v>0</v>
      </c>
    </row>
    <row r="207" spans="1:41">
      <c r="A207" s="873">
        <f>'Input data'!A147</f>
        <v>2047</v>
      </c>
      <c r="B207" s="1551">
        <f>'Input data'!B147</f>
        <v>74.373096484110363</v>
      </c>
      <c r="C207" s="1550">
        <f>'Input data'!C147</f>
        <v>8114.689906663607</v>
      </c>
      <c r="D207" s="1511">
        <f>'Input data'!E147</f>
        <v>865265.96311405371</v>
      </c>
      <c r="E207" s="1508">
        <f>'Input data'!J147*C207</f>
        <v>97628.204514510595</v>
      </c>
      <c r="F207" s="1509">
        <f>'Input data'!L147</f>
        <v>98493.470477624651</v>
      </c>
      <c r="G207" s="1557">
        <f t="shared" si="171"/>
        <v>13687.941669523079</v>
      </c>
      <c r="H207" s="1509">
        <f t="shared" si="160"/>
        <v>43143.827968085869</v>
      </c>
      <c r="I207" s="1511">
        <f t="shared" si="136"/>
        <v>865.26596311405376</v>
      </c>
      <c r="J207" s="1504">
        <f t="shared" si="170"/>
        <v>0.4</v>
      </c>
      <c r="K207" s="1512">
        <f t="shared" si="162"/>
        <v>292.85122193258309</v>
      </c>
      <c r="L207" s="1512">
        <f t="shared" si="137"/>
        <v>0</v>
      </c>
      <c r="M207" s="1511">
        <f t="shared" si="163"/>
        <v>292.85122193258309</v>
      </c>
      <c r="N207" s="1454">
        <f t="shared" si="169"/>
        <v>0.5</v>
      </c>
      <c r="O207" s="530">
        <f t="shared" si="138"/>
        <v>751.91700000000026</v>
      </c>
      <c r="P207" s="1210">
        <f t="shared" si="166"/>
        <v>1044.7682219325834</v>
      </c>
      <c r="Q207" s="1364">
        <f t="shared" si="139"/>
        <v>55787.001415676365</v>
      </c>
      <c r="R207" s="1364">
        <f t="shared" si="164"/>
        <v>42099.059746153289</v>
      </c>
      <c r="S207" s="576">
        <f t="shared" si="140"/>
        <v>0.7617279478670349</v>
      </c>
      <c r="T207" s="135" t="str">
        <f t="shared" si="141"/>
        <v>Yes</v>
      </c>
      <c r="U207" s="1526">
        <f t="shared" si="142"/>
        <v>0.7617279478670349</v>
      </c>
      <c r="V207" s="1494">
        <f t="shared" si="134"/>
        <v>56394.410731471369</v>
      </c>
      <c r="W207" s="1527">
        <f t="shared" si="135"/>
        <v>0.42742995593517208</v>
      </c>
      <c r="X207" s="527">
        <f t="shared" si="143"/>
        <v>13687.941669523076</v>
      </c>
      <c r="Y207" s="1509">
        <f t="shared" si="144"/>
        <v>8163.9915320576392</v>
      </c>
      <c r="Z207" s="1531">
        <f t="shared" si="145"/>
        <v>5163.6864504210689</v>
      </c>
      <c r="AA207" s="1531">
        <f t="shared" si="146"/>
        <v>0</v>
      </c>
      <c r="AB207" s="1531">
        <f t="shared" si="147"/>
        <v>29378.791079469585</v>
      </c>
      <c r="AC207" s="1531">
        <f t="shared" si="148"/>
        <v>56394.410731471369</v>
      </c>
      <c r="AD207" s="1487">
        <f t="shared" si="149"/>
        <v>0</v>
      </c>
      <c r="AE207" s="649">
        <f t="shared" si="150"/>
        <v>0.24271805471467417</v>
      </c>
      <c r="AF207" s="417">
        <f t="shared" si="151"/>
        <v>0.1447659692896065</v>
      </c>
      <c r="AG207" s="417">
        <f t="shared" si="152"/>
        <v>9.1563798316974532E-2</v>
      </c>
      <c r="AH207" s="417">
        <f t="shared" si="165"/>
        <v>0</v>
      </c>
      <c r="AI207" s="417">
        <f t="shared" si="153"/>
        <v>0.5209521776787448</v>
      </c>
      <c r="AJ207" s="417">
        <f t="shared" si="154"/>
        <v>1</v>
      </c>
      <c r="AK207" s="1497">
        <f t="shared" si="155"/>
        <v>519.15957786843228</v>
      </c>
      <c r="AL207" s="1498">
        <f t="shared" si="156"/>
        <v>12415.253874938458</v>
      </c>
      <c r="AM207" s="1498">
        <f t="shared" si="157"/>
        <v>753.52821671618051</v>
      </c>
      <c r="AN207" s="1498">
        <f t="shared" si="158"/>
        <v>13687.94166952307</v>
      </c>
      <c r="AO207" s="1184">
        <f t="shared" si="159"/>
        <v>0</v>
      </c>
    </row>
    <row r="208" spans="1:41">
      <c r="A208" s="873">
        <f>'Input data'!A148</f>
        <v>2048</v>
      </c>
      <c r="B208" s="1551">
        <f>'Input data'!B148</f>
        <v>74.752759240528661</v>
      </c>
      <c r="C208" s="1550">
        <f>'Input data'!C148</f>
        <v>8296.4877206561141</v>
      </c>
      <c r="D208" s="1511">
        <f>'Input data'!E148</f>
        <v>655142.42805035703</v>
      </c>
      <c r="E208" s="1508">
        <f>'Input data'!J148*C208</f>
        <v>99815.422309509362</v>
      </c>
      <c r="F208" s="1509">
        <f>'Input data'!L148</f>
        <v>100470.56473755972</v>
      </c>
      <c r="G208" s="1557">
        <f t="shared" si="171"/>
        <v>13687.941669523079</v>
      </c>
      <c r="H208" s="1509">
        <f t="shared" si="160"/>
        <v>44201.678204622134</v>
      </c>
      <c r="I208" s="1511">
        <f t="shared" si="136"/>
        <v>655.14242805035701</v>
      </c>
      <c r="J208" s="1504">
        <f t="shared" si="170"/>
        <v>0.4</v>
      </c>
      <c r="K208" s="1512">
        <f t="shared" si="162"/>
        <v>221.734436315897</v>
      </c>
      <c r="L208" s="1512">
        <f t="shared" si="137"/>
        <v>0</v>
      </c>
      <c r="M208" s="1511">
        <f t="shared" si="163"/>
        <v>221.734436315897</v>
      </c>
      <c r="N208" s="1454">
        <f t="shared" si="169"/>
        <v>0.5</v>
      </c>
      <c r="O208" s="530">
        <f t="shared" si="138"/>
        <v>751.91700000000026</v>
      </c>
      <c r="P208" s="1210">
        <f t="shared" si="166"/>
        <v>973.65143631589729</v>
      </c>
      <c r="Q208" s="1364">
        <f t="shared" si="139"/>
        <v>56915.968437829317</v>
      </c>
      <c r="R208" s="1364">
        <f t="shared" si="164"/>
        <v>43228.026768306241</v>
      </c>
      <c r="S208" s="576">
        <f t="shared" si="140"/>
        <v>0.76478807322757936</v>
      </c>
      <c r="T208" s="135" t="str">
        <f t="shared" si="141"/>
        <v>Yes</v>
      </c>
      <c r="U208" s="1526">
        <f t="shared" si="142"/>
        <v>0.76478807322757936</v>
      </c>
      <c r="V208" s="1494">
        <f t="shared" si="134"/>
        <v>57242.537969253484</v>
      </c>
      <c r="W208" s="1527">
        <f t="shared" si="135"/>
        <v>0.43025563637690944</v>
      </c>
      <c r="X208" s="527">
        <f t="shared" si="143"/>
        <v>13687.941669523078</v>
      </c>
      <c r="Y208" s="1509">
        <f t="shared" si="144"/>
        <v>8255.0904534685887</v>
      </c>
      <c r="Z208" s="1531">
        <f t="shared" si="145"/>
        <v>5262.5257223033932</v>
      </c>
      <c r="AA208" s="1531">
        <f t="shared" si="146"/>
        <v>0</v>
      </c>
      <c r="AB208" s="1531">
        <f t="shared" si="147"/>
        <v>30036.980123958427</v>
      </c>
      <c r="AC208" s="1531">
        <f t="shared" si="148"/>
        <v>57242.537969253484</v>
      </c>
      <c r="AD208" s="1487">
        <f t="shared" si="149"/>
        <v>0</v>
      </c>
      <c r="AE208" s="649">
        <f t="shared" si="150"/>
        <v>0.23912185160055693</v>
      </c>
      <c r="AF208" s="417">
        <f t="shared" si="151"/>
        <v>0.14421251653626227</v>
      </c>
      <c r="AG208" s="417">
        <f t="shared" si="152"/>
        <v>9.1933829438695366E-2</v>
      </c>
      <c r="AH208" s="417">
        <f t="shared" si="165"/>
        <v>0</v>
      </c>
      <c r="AI208" s="417">
        <f t="shared" si="153"/>
        <v>0.52473180242448547</v>
      </c>
      <c r="AJ208" s="417">
        <f t="shared" si="154"/>
        <v>1</v>
      </c>
      <c r="AK208" s="1497">
        <f t="shared" si="155"/>
        <v>393.08545683021418</v>
      </c>
      <c r="AL208" s="1498">
        <f t="shared" si="156"/>
        <v>12530.378372055246</v>
      </c>
      <c r="AM208" s="1498">
        <f t="shared" si="157"/>
        <v>764.47784063761378</v>
      </c>
      <c r="AN208" s="1498">
        <f t="shared" si="158"/>
        <v>13687.941669523074</v>
      </c>
      <c r="AO208" s="1184">
        <f t="shared" si="159"/>
        <v>0</v>
      </c>
    </row>
    <row r="209" spans="1:41">
      <c r="A209" s="873">
        <f>'Input data'!A149</f>
        <v>2049</v>
      </c>
      <c r="B209" s="1551">
        <f>'Input data'!B149</f>
        <v>75.134360114565098</v>
      </c>
      <c r="C209" s="1550">
        <f>'Input data'!C149</f>
        <v>8472.9909282566368</v>
      </c>
      <c r="D209" s="1511">
        <f>'Input data'!E149</f>
        <v>445018.89298666047</v>
      </c>
      <c r="E209" s="1508">
        <f>'Input data'!J149*C209</f>
        <v>101938.94045343013</v>
      </c>
      <c r="F209" s="1509">
        <f>'Input data'!L149</f>
        <v>102383.95934641678</v>
      </c>
      <c r="G209" s="1557">
        <f t="shared" si="171"/>
        <v>13687.941669523079</v>
      </c>
      <c r="H209" s="1509">
        <f t="shared" si="160"/>
        <v>45222.977127844933</v>
      </c>
      <c r="I209" s="1511">
        <f t="shared" si="136"/>
        <v>445.01889298666049</v>
      </c>
      <c r="J209" s="1504">
        <f t="shared" si="170"/>
        <v>0.4</v>
      </c>
      <c r="K209" s="1512">
        <f t="shared" si="162"/>
        <v>150.617650699211</v>
      </c>
      <c r="L209" s="1512">
        <f t="shared" si="137"/>
        <v>0</v>
      </c>
      <c r="M209" s="1511">
        <f t="shared" si="163"/>
        <v>150.617650699211</v>
      </c>
      <c r="N209" s="1454">
        <f t="shared" si="169"/>
        <v>0.5</v>
      </c>
      <c r="O209" s="530">
        <f t="shared" si="138"/>
        <v>751.91700000000026</v>
      </c>
      <c r="P209" s="1210">
        <f t="shared" si="166"/>
        <v>902.53465069921128</v>
      </c>
      <c r="Q209" s="1364">
        <f t="shared" si="139"/>
        <v>58008.384146668803</v>
      </c>
      <c r="R209" s="1364">
        <f t="shared" si="164"/>
        <v>44320.442477145727</v>
      </c>
      <c r="S209" s="576">
        <f t="shared" si="140"/>
        <v>0.76756821529530794</v>
      </c>
      <c r="T209" s="135" t="str">
        <f t="shared" si="141"/>
        <v>Yes</v>
      </c>
      <c r="U209" s="1526">
        <f t="shared" si="142"/>
        <v>0.76756821529530794</v>
      </c>
      <c r="V209" s="1494">
        <f t="shared" si="134"/>
        <v>58063.516869271072</v>
      </c>
      <c r="W209" s="1527">
        <f t="shared" si="135"/>
        <v>0.43288463114800246</v>
      </c>
      <c r="X209" s="527">
        <f t="shared" si="143"/>
        <v>13687.941669523074</v>
      </c>
      <c r="Y209" s="1509">
        <f t="shared" si="144"/>
        <v>8341.0884252257347</v>
      </c>
      <c r="Z209" s="1531">
        <f t="shared" si="145"/>
        <v>5358.4864389974309</v>
      </c>
      <c r="AA209" s="1531">
        <f t="shared" si="146"/>
        <v>0</v>
      </c>
      <c r="AB209" s="1531">
        <f t="shared" si="147"/>
        <v>30676.000335524837</v>
      </c>
      <c r="AC209" s="1531">
        <f t="shared" si="148"/>
        <v>58063.516869271072</v>
      </c>
      <c r="AD209" s="1487">
        <f t="shared" si="149"/>
        <v>0</v>
      </c>
      <c r="AE209" s="649">
        <f t="shared" si="150"/>
        <v>0.23574083017295042</v>
      </c>
      <c r="AF209" s="417">
        <f t="shared" si="151"/>
        <v>0.14365455065364952</v>
      </c>
      <c r="AG209" s="417">
        <f t="shared" si="152"/>
        <v>9.2286632431548429E-2</v>
      </c>
      <c r="AH209" s="417">
        <f t="shared" si="165"/>
        <v>0</v>
      </c>
      <c r="AI209" s="417">
        <f t="shared" si="153"/>
        <v>0.52831798674185171</v>
      </c>
      <c r="AJ209" s="417">
        <f t="shared" si="154"/>
        <v>1</v>
      </c>
      <c r="AK209" s="1497">
        <f t="shared" si="155"/>
        <v>267.01133579199632</v>
      </c>
      <c r="AL209" s="1498">
        <f t="shared" si="156"/>
        <v>12645.698682967439</v>
      </c>
      <c r="AM209" s="1498">
        <f t="shared" si="157"/>
        <v>775.23165076363637</v>
      </c>
      <c r="AN209" s="1498">
        <f t="shared" si="158"/>
        <v>13687.941669523072</v>
      </c>
      <c r="AO209" s="1184">
        <f t="shared" si="159"/>
        <v>0</v>
      </c>
    </row>
    <row r="210" spans="1:41" ht="15.75" thickBot="1">
      <c r="A210" s="172">
        <f>'Input data'!A150</f>
        <v>2050</v>
      </c>
      <c r="B210" s="664">
        <f>'Input data'!B150</f>
        <v>75.517908999999989</v>
      </c>
      <c r="C210" s="239">
        <f>'Input data'!C150</f>
        <v>8654.8011856383091</v>
      </c>
      <c r="D210" s="1520">
        <f>'Input data'!E150</f>
        <v>234895.35792296397</v>
      </c>
      <c r="E210" s="670">
        <f>'Input data'!J150*C210</f>
        <v>104126.30795541168</v>
      </c>
      <c r="F210" s="667">
        <f>'Input data'!L150</f>
        <v>104361.20331333466</v>
      </c>
      <c r="G210" s="1475">
        <f t="shared" si="171"/>
        <v>13687.941669523079</v>
      </c>
      <c r="H210" s="1518">
        <f t="shared" si="160"/>
        <v>46280.913267313808</v>
      </c>
      <c r="I210" s="1520">
        <f t="shared" si="136"/>
        <v>234.89535792296397</v>
      </c>
      <c r="J210" s="651">
        <f t="shared" si="170"/>
        <v>0.4</v>
      </c>
      <c r="K210" s="1518">
        <f t="shared" si="162"/>
        <v>79.50086508252501</v>
      </c>
      <c r="L210" s="1518">
        <f t="shared" si="137"/>
        <v>0</v>
      </c>
      <c r="M210" s="1520">
        <f t="shared" si="163"/>
        <v>79.50086508252501</v>
      </c>
      <c r="N210" s="650">
        <f t="shared" si="169"/>
        <v>0.5</v>
      </c>
      <c r="O210" s="659">
        <f t="shared" si="138"/>
        <v>751.91700000000026</v>
      </c>
      <c r="P210" s="1695">
        <f t="shared" si="166"/>
        <v>831.41786508252528</v>
      </c>
      <c r="Q210" s="1485">
        <f t="shared" si="139"/>
        <v>59137.437071754357</v>
      </c>
      <c r="R210" s="1485">
        <f t="shared" si="164"/>
        <v>45449.495402231274</v>
      </c>
      <c r="S210" s="578">
        <f t="shared" si="140"/>
        <v>0.77037613269252614</v>
      </c>
      <c r="T210" s="1105" t="str">
        <f t="shared" si="141"/>
        <v>Yes</v>
      </c>
      <c r="U210" s="1528">
        <f t="shared" si="142"/>
        <v>0.77037613269252614</v>
      </c>
      <c r="V210" s="1495">
        <f t="shared" si="134"/>
        <v>58911.707911103389</v>
      </c>
      <c r="W210" s="1529">
        <f t="shared" si="135"/>
        <v>0.43550183362464157</v>
      </c>
      <c r="X210" s="670">
        <f t="shared" si="143"/>
        <v>13687.941669523079</v>
      </c>
      <c r="Y210" s="1518">
        <f t="shared" si="144"/>
        <v>8432.1993348935939</v>
      </c>
      <c r="Z210" s="1532">
        <f t="shared" si="145"/>
        <v>5457.3324760629976</v>
      </c>
      <c r="AA210" s="1532">
        <f t="shared" si="146"/>
        <v>0</v>
      </c>
      <c r="AB210" s="1532">
        <f t="shared" si="147"/>
        <v>31334.234430623717</v>
      </c>
      <c r="AC210" s="1532">
        <f t="shared" si="148"/>
        <v>58911.707911103389</v>
      </c>
      <c r="AD210" s="1488">
        <f t="shared" si="149"/>
        <v>0</v>
      </c>
      <c r="AE210" s="650">
        <f t="shared" si="150"/>
        <v>0.23234671264628612</v>
      </c>
      <c r="AF210" s="651">
        <f t="shared" si="151"/>
        <v>0.14313282764807322</v>
      </c>
      <c r="AG210" s="651">
        <f t="shared" si="152"/>
        <v>9.263578785218729E-2</v>
      </c>
      <c r="AH210" s="651">
        <f t="shared" si="165"/>
        <v>0</v>
      </c>
      <c r="AI210" s="651">
        <f>AB210/AC210</f>
        <v>0.53188467185345334</v>
      </c>
      <c r="AJ210" s="651">
        <f t="shared" si="154"/>
        <v>1</v>
      </c>
      <c r="AK210" s="1499">
        <f t="shared" si="155"/>
        <v>140.93721475377839</v>
      </c>
      <c r="AL210" s="1500">
        <f t="shared" si="156"/>
        <v>12760.999568460958</v>
      </c>
      <c r="AM210" s="1500">
        <f t="shared" si="157"/>
        <v>786.00488630833911</v>
      </c>
      <c r="AN210" s="1500">
        <f t="shared" si="158"/>
        <v>13687.941669523076</v>
      </c>
      <c r="AO210" s="1185">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35" t="s">
        <v>545</v>
      </c>
      <c r="K4" s="1934" t="s">
        <v>546</v>
      </c>
      <c r="L4" s="1934" t="s">
        <v>547</v>
      </c>
      <c r="M4" s="1934" t="s">
        <v>548</v>
      </c>
      <c r="N4" s="1934" t="s">
        <v>498</v>
      </c>
      <c r="O4" s="1934"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35" t="s">
        <v>355</v>
      </c>
      <c r="K5" s="1934"/>
      <c r="L5" s="1934"/>
      <c r="M5" s="1934"/>
      <c r="N5" s="1934"/>
      <c r="O5" s="1934"/>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6"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6"/>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6"/>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7"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7"/>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7"/>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7"/>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7"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7"/>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7"/>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7"/>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5">
        <f>'Input data'!C117</f>
        <v>3117.5115237718705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8" t="s">
        <v>392</v>
      </c>
      <c r="B33" s="1938"/>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28.06789123869763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1"/>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12.031045626813224</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9"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9"/>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9"/>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9"/>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9"/>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0" t="s">
        <v>184</v>
      </c>
      <c r="H71" s="104"/>
      <c r="I71" s="104"/>
      <c r="J71" s="130"/>
    </row>
    <row r="72" spans="2:16">
      <c r="B72" s="127" t="s">
        <v>180</v>
      </c>
      <c r="C72" s="104" t="s">
        <v>179</v>
      </c>
      <c r="D72" s="104">
        <v>2</v>
      </c>
      <c r="E72" s="104">
        <v>0.8</v>
      </c>
      <c r="F72" s="104"/>
      <c r="G72" s="1940"/>
      <c r="H72" s="104"/>
      <c r="I72" s="104"/>
      <c r="J72" s="130"/>
    </row>
    <row r="73" spans="2:16">
      <c r="B73" s="157" t="s">
        <v>181</v>
      </c>
      <c r="C73" s="104"/>
      <c r="D73" s="104"/>
      <c r="E73" s="104"/>
      <c r="F73" s="104"/>
      <c r="G73" s="1940"/>
      <c r="H73" s="104"/>
      <c r="I73" s="104"/>
      <c r="J73" s="130"/>
    </row>
    <row r="74" spans="2:16">
      <c r="B74" s="127" t="s">
        <v>176</v>
      </c>
      <c r="C74" s="104" t="s">
        <v>183</v>
      </c>
      <c r="D74" s="104">
        <v>0.6</v>
      </c>
      <c r="E74" s="104">
        <v>0.24</v>
      </c>
      <c r="F74" s="104"/>
      <c r="G74" s="1940"/>
      <c r="H74" s="104"/>
      <c r="I74" s="104"/>
      <c r="J74" s="130"/>
    </row>
    <row r="75" spans="2:16">
      <c r="B75" s="127" t="s">
        <v>180</v>
      </c>
      <c r="C75" s="104" t="s">
        <v>183</v>
      </c>
      <c r="D75" s="169" t="s">
        <v>182</v>
      </c>
      <c r="E75" s="169" t="s">
        <v>182</v>
      </c>
      <c r="F75" s="104"/>
      <c r="G75" s="1940"/>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1" t="s">
        <v>262</v>
      </c>
      <c r="R105" s="1941"/>
      <c r="S105" s="1941"/>
      <c r="T105" s="1941"/>
    </row>
    <row r="107" spans="2:20">
      <c r="C107" t="s">
        <v>263</v>
      </c>
    </row>
    <row r="108" spans="2:20">
      <c r="C108" t="s">
        <v>264</v>
      </c>
    </row>
    <row r="109" spans="2:20">
      <c r="C109" t="s">
        <v>265</v>
      </c>
    </row>
    <row r="110" spans="2:20">
      <c r="C110" t="s">
        <v>266</v>
      </c>
    </row>
    <row r="111" spans="2:20" ht="15.75" thickBot="1"/>
    <row r="112" spans="2:20" ht="15.75" thickBot="1">
      <c r="B112" s="4"/>
      <c r="C112" s="1942" t="s">
        <v>267</v>
      </c>
      <c r="D112" s="1943"/>
      <c r="E112" s="1943"/>
      <c r="F112" s="1943"/>
      <c r="G112" s="1943"/>
      <c r="H112" s="1944"/>
      <c r="I112" s="1942" t="s">
        <v>268</v>
      </c>
      <c r="J112" s="1943"/>
      <c r="K112" s="1943"/>
      <c r="L112" s="1943"/>
      <c r="M112" s="1943"/>
      <c r="N112" s="1944"/>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5" t="s">
        <v>276</v>
      </c>
      <c r="S113" s="1945"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6"/>
      <c r="S114" s="1946"/>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6"/>
      <c r="S115" s="1946"/>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6"/>
      <c r="S116" s="1946"/>
      <c r="T116" s="5"/>
    </row>
    <row r="117" spans="2:20" ht="15.75" thickBot="1">
      <c r="B117" s="267"/>
      <c r="C117" s="267"/>
      <c r="D117" s="268"/>
      <c r="E117" s="268"/>
      <c r="F117" s="268"/>
      <c r="G117" s="268"/>
      <c r="H117" s="269"/>
      <c r="I117" s="267"/>
      <c r="J117" s="268"/>
      <c r="K117" s="268"/>
      <c r="L117" s="268"/>
      <c r="M117" s="268"/>
      <c r="N117" s="269"/>
      <c r="O117" s="270"/>
      <c r="P117" s="5"/>
      <c r="Q117" s="5"/>
      <c r="R117" s="1946"/>
      <c r="S117" s="1946"/>
      <c r="T117" s="5"/>
    </row>
    <row r="118" spans="2:20" ht="15.75" thickBot="1">
      <c r="B118" s="283"/>
      <c r="C118" s="1948" t="s">
        <v>280</v>
      </c>
      <c r="D118" s="1949"/>
      <c r="E118" s="1949"/>
      <c r="F118" s="1949"/>
      <c r="G118" s="1949"/>
      <c r="H118" s="1950"/>
      <c r="I118" s="1948" t="s">
        <v>280</v>
      </c>
      <c r="J118" s="1949"/>
      <c r="K118" s="1949"/>
      <c r="L118" s="1949"/>
      <c r="M118" s="1949"/>
      <c r="N118" s="1950"/>
      <c r="O118" s="284"/>
      <c r="P118" s="5"/>
      <c r="Q118" s="5"/>
      <c r="R118" s="1946"/>
      <c r="S118" s="1946"/>
      <c r="T118" s="5"/>
    </row>
    <row r="119" spans="2:20" ht="15.75" thickBot="1">
      <c r="B119" s="282" t="s">
        <v>281</v>
      </c>
      <c r="C119" s="271">
        <v>0</v>
      </c>
      <c r="D119" s="272">
        <v>0</v>
      </c>
      <c r="E119" s="272">
        <v>1</v>
      </c>
      <c r="F119" s="272">
        <v>0</v>
      </c>
      <c r="G119" s="272">
        <v>0</v>
      </c>
      <c r="H119" s="1951" t="s">
        <v>282</v>
      </c>
      <c r="I119" s="271">
        <v>0.2</v>
      </c>
      <c r="J119" s="272">
        <v>0.3</v>
      </c>
      <c r="K119" s="272">
        <v>0.25</v>
      </c>
      <c r="L119" s="272">
        <v>0.05</v>
      </c>
      <c r="M119" s="272">
        <v>0.2</v>
      </c>
      <c r="N119" s="1951" t="s">
        <v>282</v>
      </c>
      <c r="O119" s="285"/>
      <c r="P119" s="5"/>
      <c r="Q119" s="5"/>
      <c r="R119" s="1947"/>
      <c r="S119" s="1947"/>
      <c r="T119" s="5"/>
    </row>
    <row r="120" spans="2:20" ht="15.75" thickBot="1">
      <c r="B120" s="278" t="s">
        <v>217</v>
      </c>
      <c r="C120" s="810" t="s">
        <v>229</v>
      </c>
      <c r="D120" s="811" t="s">
        <v>229</v>
      </c>
      <c r="E120" s="811" t="s">
        <v>229</v>
      </c>
      <c r="F120" s="811" t="s">
        <v>229</v>
      </c>
      <c r="G120" s="811" t="s">
        <v>229</v>
      </c>
      <c r="H120" s="1952"/>
      <c r="I120" s="810" t="s">
        <v>229</v>
      </c>
      <c r="J120" s="811" t="s">
        <v>229</v>
      </c>
      <c r="K120" s="811" t="s">
        <v>229</v>
      </c>
      <c r="L120" s="811" t="s">
        <v>229</v>
      </c>
      <c r="M120" s="811" t="s">
        <v>229</v>
      </c>
      <c r="N120" s="1952"/>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2" t="s">
        <v>315</v>
      </c>
      <c r="E1" s="1172" t="s">
        <v>320</v>
      </c>
      <c r="F1" s="104"/>
    </row>
    <row r="2" spans="1:66">
      <c r="A2" s="150"/>
      <c r="B2" s="99"/>
      <c r="C2" s="99"/>
      <c r="D2" s="104"/>
      <c r="E2" s="130"/>
      <c r="F2" s="104"/>
    </row>
    <row r="3" spans="1:66">
      <c r="A3" s="150" t="s">
        <v>316</v>
      </c>
      <c r="B3" s="99"/>
      <c r="C3" s="99" t="str">
        <f>Parameters!D94</f>
        <v>varies</v>
      </c>
      <c r="D3" s="99">
        <v>0.4</v>
      </c>
      <c r="E3" s="1173">
        <f>Parameters!F94</f>
        <v>0.05</v>
      </c>
      <c r="F3" s="104"/>
    </row>
    <row r="4" spans="1:66">
      <c r="A4" s="150" t="s">
        <v>260</v>
      </c>
      <c r="B4" s="99"/>
      <c r="C4" s="99">
        <f>Parameters!D95</f>
        <v>0.5</v>
      </c>
      <c r="D4" s="99">
        <f>Parameters!E95</f>
        <v>0.5</v>
      </c>
      <c r="E4" s="1173">
        <f>Parameters!F95</f>
        <v>0.5</v>
      </c>
      <c r="F4" s="104"/>
    </row>
    <row r="5" spans="1:66">
      <c r="A5" s="174" t="s">
        <v>257</v>
      </c>
      <c r="B5" s="175"/>
      <c r="C5" s="175">
        <f>Parameters!D96</f>
        <v>0.05</v>
      </c>
      <c r="D5" s="99">
        <f>Parameters!E96</f>
        <v>0.05</v>
      </c>
      <c r="E5" s="1173">
        <f>Parameters!F96</f>
        <v>0.06</v>
      </c>
      <c r="F5" s="104"/>
    </row>
    <row r="6" spans="1:66">
      <c r="A6" s="150" t="s">
        <v>258</v>
      </c>
      <c r="B6" s="107" t="s">
        <v>211</v>
      </c>
      <c r="C6" s="106">
        <f>Parameters!D97</f>
        <v>13.862943611198904</v>
      </c>
      <c r="D6" s="106">
        <f>Parameters!E97</f>
        <v>13.862943611198904</v>
      </c>
      <c r="E6" s="1174">
        <f>Parameters!F97</f>
        <v>11.552453009332423</v>
      </c>
      <c r="F6" s="104"/>
    </row>
    <row r="7" spans="1:66">
      <c r="A7" s="150" t="s">
        <v>255</v>
      </c>
      <c r="B7" s="107" t="s">
        <v>256</v>
      </c>
      <c r="C7" s="99">
        <f>Parameters!D98</f>
        <v>6</v>
      </c>
      <c r="D7" s="99">
        <f>Parameters!E98</f>
        <v>6</v>
      </c>
      <c r="E7" s="1173">
        <f>Parameters!F98</f>
        <v>6</v>
      </c>
      <c r="F7" s="104"/>
    </row>
    <row r="8" spans="1:66">
      <c r="A8" s="151" t="s">
        <v>248</v>
      </c>
      <c r="B8" s="108" t="s">
        <v>249</v>
      </c>
      <c r="C8" s="158">
        <f>Parameters!D99</f>
        <v>0.95122942450071402</v>
      </c>
      <c r="D8" s="158">
        <f>Parameters!E99</f>
        <v>0.95122942450071402</v>
      </c>
      <c r="E8" s="1175">
        <f>Parameters!F99</f>
        <v>0.94176453358424872</v>
      </c>
      <c r="F8" s="104"/>
    </row>
    <row r="9" spans="1:66">
      <c r="A9" s="151" t="s">
        <v>250</v>
      </c>
      <c r="B9" s="108" t="s">
        <v>251</v>
      </c>
      <c r="C9" s="99">
        <f>Parameters!D100</f>
        <v>13</v>
      </c>
      <c r="D9" s="99">
        <f>Parameters!E100</f>
        <v>13</v>
      </c>
      <c r="E9" s="1173">
        <f>Parameters!F100</f>
        <v>13</v>
      </c>
      <c r="F9" s="104"/>
      <c r="H9" s="561"/>
    </row>
    <row r="10" spans="1:66">
      <c r="A10" s="151" t="s">
        <v>252</v>
      </c>
      <c r="B10" s="108" t="s">
        <v>253</v>
      </c>
      <c r="C10" s="99">
        <f>Parameters!D101</f>
        <v>1</v>
      </c>
      <c r="D10" s="99">
        <f>Parameters!E101</f>
        <v>1</v>
      </c>
      <c r="E10" s="1173">
        <f>Parameters!F101</f>
        <v>1</v>
      </c>
      <c r="F10" s="104"/>
    </row>
    <row r="11" spans="1:66">
      <c r="A11" s="151" t="s">
        <v>259</v>
      </c>
      <c r="B11" s="108" t="s">
        <v>254</v>
      </c>
      <c r="C11" s="175">
        <f>Parameters!D102</f>
        <v>0.5</v>
      </c>
      <c r="D11" s="99">
        <f>Parameters!E102</f>
        <v>0.5</v>
      </c>
      <c r="E11" s="1173">
        <f>Parameters!F102</f>
        <v>0.5</v>
      </c>
      <c r="F11" s="104"/>
    </row>
    <row r="12" spans="1:66">
      <c r="A12" s="151" t="s">
        <v>729</v>
      </c>
      <c r="B12" s="108">
        <v>2002</v>
      </c>
      <c r="C12" s="108"/>
      <c r="D12" s="1444">
        <f>'Waste Summary 2017 SASOW'!L29</f>
        <v>0.13527885904981399</v>
      </c>
      <c r="E12" s="1173"/>
      <c r="F12" s="104"/>
    </row>
    <row r="13" spans="1:66">
      <c r="A13" s="151" t="s">
        <v>729</v>
      </c>
      <c r="B13" s="108">
        <v>2017</v>
      </c>
      <c r="C13" s="108"/>
      <c r="D13" s="1444">
        <f>'Waste Summary 2017 SASOW'!$L$25</f>
        <v>2.197312110627072E-2</v>
      </c>
      <c r="E13" s="1173"/>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35" t="s">
        <v>319</v>
      </c>
      <c r="BC15" s="1736"/>
      <c r="BD15" s="1736"/>
      <c r="BE15" s="1736"/>
      <c r="BF15" s="1736"/>
      <c r="BG15" s="1737"/>
      <c r="BI15" s="1735" t="s">
        <v>319</v>
      </c>
      <c r="BJ15" s="1736"/>
      <c r="BK15" s="1736"/>
      <c r="BL15" s="1736"/>
      <c r="BM15" s="1736"/>
      <c r="BN15" s="1737"/>
    </row>
    <row r="16" spans="1:66" ht="60">
      <c r="A16" s="1965" t="s">
        <v>217</v>
      </c>
      <c r="B16" s="1968" t="s">
        <v>218</v>
      </c>
      <c r="C16" s="1968" t="s">
        <v>219</v>
      </c>
      <c r="D16" s="1965" t="s">
        <v>220</v>
      </c>
      <c r="E16" s="1965" t="s">
        <v>221</v>
      </c>
      <c r="F16" s="1970" t="s">
        <v>85</v>
      </c>
      <c r="G16" s="1970" t="s">
        <v>87</v>
      </c>
      <c r="H16" s="1970" t="s">
        <v>222</v>
      </c>
      <c r="I16" s="1970" t="s">
        <v>115</v>
      </c>
      <c r="J16" s="1970" t="s">
        <v>223</v>
      </c>
      <c r="K16" s="1970" t="s">
        <v>224</v>
      </c>
      <c r="L16" s="1963" t="s">
        <v>225</v>
      </c>
      <c r="M16" s="294"/>
      <c r="N16" s="213" t="s">
        <v>235</v>
      </c>
      <c r="O16" s="214" t="s">
        <v>22</v>
      </c>
      <c r="P16" s="214" t="s">
        <v>236</v>
      </c>
      <c r="Q16" s="215" t="s">
        <v>237</v>
      </c>
      <c r="R16" s="215" t="s">
        <v>238</v>
      </c>
      <c r="S16" s="215" t="s">
        <v>239</v>
      </c>
      <c r="T16" s="215" t="s">
        <v>240</v>
      </c>
      <c r="U16" s="215" t="s">
        <v>241</v>
      </c>
      <c r="V16" s="221" t="s">
        <v>300</v>
      </c>
      <c r="W16" s="1746" t="s">
        <v>729</v>
      </c>
      <c r="X16" s="213" t="s">
        <v>726</v>
      </c>
      <c r="Y16" s="214" t="s">
        <v>22</v>
      </c>
      <c r="Z16" s="214" t="s">
        <v>236</v>
      </c>
      <c r="AA16" s="215" t="s">
        <v>237</v>
      </c>
      <c r="AB16" s="215" t="s">
        <v>238</v>
      </c>
      <c r="AC16" s="215" t="s">
        <v>239</v>
      </c>
      <c r="AD16" s="215" t="s">
        <v>240</v>
      </c>
      <c r="AE16" s="215" t="s">
        <v>241</v>
      </c>
      <c r="AF16" s="221" t="s">
        <v>300</v>
      </c>
      <c r="AG16" s="1746"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5" t="s">
        <v>267</v>
      </c>
      <c r="BC16" s="1957" t="s">
        <v>315</v>
      </c>
      <c r="BD16" s="1959" t="s">
        <v>320</v>
      </c>
      <c r="BE16" s="1957" t="s">
        <v>225</v>
      </c>
      <c r="BF16" s="1957" t="s">
        <v>321</v>
      </c>
      <c r="BG16" s="1961" t="s">
        <v>322</v>
      </c>
      <c r="BI16" s="1955" t="s">
        <v>267</v>
      </c>
      <c r="BJ16" s="1957" t="s">
        <v>315</v>
      </c>
      <c r="BK16" s="1959" t="s">
        <v>320</v>
      </c>
      <c r="BL16" s="1957" t="s">
        <v>225</v>
      </c>
      <c r="BM16" s="1957" t="s">
        <v>321</v>
      </c>
      <c r="BN16" s="1961" t="s">
        <v>322</v>
      </c>
    </row>
    <row r="17" spans="1:66" ht="24.75">
      <c r="A17" s="1966"/>
      <c r="B17" s="1969"/>
      <c r="C17" s="1969"/>
      <c r="D17" s="1966"/>
      <c r="E17" s="1966"/>
      <c r="F17" s="1971"/>
      <c r="G17" s="1971"/>
      <c r="H17" s="1971"/>
      <c r="I17" s="1971"/>
      <c r="J17" s="1971"/>
      <c r="K17" s="1971"/>
      <c r="L17" s="1964"/>
      <c r="M17" s="295"/>
      <c r="N17" s="222" t="s">
        <v>242</v>
      </c>
      <c r="O17" s="223" t="s">
        <v>22</v>
      </c>
      <c r="P17" s="223" t="s">
        <v>236</v>
      </c>
      <c r="Q17" s="224" t="s">
        <v>243</v>
      </c>
      <c r="R17" s="224" t="s">
        <v>244</v>
      </c>
      <c r="S17" s="224" t="s">
        <v>245</v>
      </c>
      <c r="T17" s="224" t="s">
        <v>301</v>
      </c>
      <c r="U17" s="224" t="s">
        <v>302</v>
      </c>
      <c r="V17" s="225" t="s">
        <v>246</v>
      </c>
      <c r="W17" s="1953"/>
      <c r="X17" s="222" t="s">
        <v>242</v>
      </c>
      <c r="Y17" s="223" t="s">
        <v>22</v>
      </c>
      <c r="Z17" s="223" t="s">
        <v>236</v>
      </c>
      <c r="AA17" s="224" t="s">
        <v>243</v>
      </c>
      <c r="AB17" s="224" t="s">
        <v>244</v>
      </c>
      <c r="AC17" s="224" t="s">
        <v>245</v>
      </c>
      <c r="AD17" s="224" t="s">
        <v>301</v>
      </c>
      <c r="AE17" s="224" t="s">
        <v>302</v>
      </c>
      <c r="AF17" s="225" t="s">
        <v>246</v>
      </c>
      <c r="AG17" s="195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6"/>
      <c r="BC17" s="1958"/>
      <c r="BD17" s="1960"/>
      <c r="BE17" s="1958"/>
      <c r="BF17" s="1958"/>
      <c r="BG17" s="1962"/>
      <c r="BI17" s="1956"/>
      <c r="BJ17" s="1958"/>
      <c r="BK17" s="1960"/>
      <c r="BL17" s="1958"/>
      <c r="BM17" s="1958"/>
      <c r="BN17" s="1962"/>
    </row>
    <row r="18" spans="1:66" ht="15.75" thickBot="1">
      <c r="A18" s="1967"/>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4"/>
      <c r="X18" s="217" t="s">
        <v>228</v>
      </c>
      <c r="Y18" s="218" t="s">
        <v>41</v>
      </c>
      <c r="Z18" s="218" t="s">
        <v>41</v>
      </c>
      <c r="AA18" s="219" t="s">
        <v>228</v>
      </c>
      <c r="AB18" s="219" t="s">
        <v>228</v>
      </c>
      <c r="AC18" s="219" t="s">
        <v>228</v>
      </c>
      <c r="AD18" s="219" t="s">
        <v>228</v>
      </c>
      <c r="AE18" s="219" t="s">
        <v>228</v>
      </c>
      <c r="AF18" s="220" t="s">
        <v>228</v>
      </c>
      <c r="AG18" s="195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6">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6">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6">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6">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6">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6">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6">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6">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6">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6">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6">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6">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6">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48">
        <f t="shared" si="8"/>
        <v>0.13527885904981399</v>
      </c>
      <c r="X33" s="914">
        <f>'Baseline data (from input)'!AS19*W33</f>
        <v>2296.1168290381702</v>
      </c>
      <c r="Y33" s="907">
        <f>Parameters!S134</f>
        <v>0.71500000000000008</v>
      </c>
      <c r="Z33" s="907">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6">
        <f t="shared" si="16"/>
        <v>0.13527885904981399</v>
      </c>
      <c r="AH33" s="914">
        <f>'Baseline data (from input)'!AS19*AG33</f>
        <v>2296.1168290381702</v>
      </c>
      <c r="AI33" s="907">
        <f>Parameters!S134</f>
        <v>0.71500000000000008</v>
      </c>
      <c r="AJ33" s="907">
        <f t="shared" si="17"/>
        <v>0.4</v>
      </c>
      <c r="AK33" s="906">
        <f t="shared" si="18"/>
        <v>328.34470655245843</v>
      </c>
      <c r="AL33" s="906">
        <f t="shared" si="19"/>
        <v>328.34470655245843</v>
      </c>
      <c r="AM33" s="286">
        <f t="shared" si="20"/>
        <v>0</v>
      </c>
      <c r="AN33" s="906">
        <f t="shared" si="21"/>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48">
        <f t="shared" si="8"/>
        <v>0.13527885904981399</v>
      </c>
      <c r="X34" s="914">
        <f>'Baseline data (from input)'!AS20*W34</f>
        <v>2478.4234921289667</v>
      </c>
      <c r="Y34" s="907">
        <f>Parameters!S135</f>
        <v>0.71500000000000008</v>
      </c>
      <c r="Z34" s="907">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6">
        <f t="shared" si="16"/>
        <v>0.13527885904981399</v>
      </c>
      <c r="AH34" s="914">
        <f>'Baseline data (from input)'!AS20*AG34</f>
        <v>2478.4234921289667</v>
      </c>
      <c r="AI34" s="907">
        <f>Parameters!S135</f>
        <v>0.71500000000000008</v>
      </c>
      <c r="AJ34" s="907">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48">
        <f t="shared" si="8"/>
        <v>0.13527885904981399</v>
      </c>
      <c r="X35" s="914">
        <f>'Baseline data (from input)'!AS21*W35</f>
        <v>2630.1714348322043</v>
      </c>
      <c r="Y35" s="907">
        <f>Parameters!S136</f>
        <v>0.71500000000000008</v>
      </c>
      <c r="Z35" s="907">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6">
        <f t="shared" si="16"/>
        <v>0.13527885904981399</v>
      </c>
      <c r="AH35" s="914">
        <f>'Baseline data (from input)'!AS21*AG35</f>
        <v>2630.1714348322043</v>
      </c>
      <c r="AI35" s="907">
        <f>Parameters!S136</f>
        <v>0.71500000000000008</v>
      </c>
      <c r="AJ35" s="907">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48">
        <f t="shared" si="8"/>
        <v>0.13527885904981399</v>
      </c>
      <c r="X36" s="914">
        <f>'Baseline data (from input)'!AS22*W36</f>
        <v>2746.9065510606351</v>
      </c>
      <c r="Y36" s="907">
        <f>Parameters!S137</f>
        <v>0.71500000000000008</v>
      </c>
      <c r="Z36" s="907">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6">
        <f t="shared" si="16"/>
        <v>0.13527885904981399</v>
      </c>
      <c r="AH36" s="914">
        <f>'Baseline data (from input)'!AS22*AG36</f>
        <v>2746.9065510606351</v>
      </c>
      <c r="AI36" s="907">
        <f>Parameters!S137</f>
        <v>0.71500000000000008</v>
      </c>
      <c r="AJ36" s="907">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48">
        <f t="shared" si="8"/>
        <v>0.13527885904981399</v>
      </c>
      <c r="X37" s="914">
        <f>'Baseline data (from input)'!AS23*W37</f>
        <v>2944.5897670360177</v>
      </c>
      <c r="Y37" s="907">
        <f>Parameters!S138</f>
        <v>0.71500000000000008</v>
      </c>
      <c r="Z37" s="907">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6">
        <f t="shared" si="16"/>
        <v>0.13527885904981399</v>
      </c>
      <c r="AH37" s="914">
        <f>'Baseline data (from input)'!AS23*AG37</f>
        <v>2944.5897670360177</v>
      </c>
      <c r="AI37" s="907">
        <f>Parameters!S138</f>
        <v>0.71500000000000008</v>
      </c>
      <c r="AJ37" s="907">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48">
        <f t="shared" si="8"/>
        <v>0.13527885904981399</v>
      </c>
      <c r="X38" s="914">
        <f>'Baseline data (from input)'!AS24*W38</f>
        <v>3066.8916780085497</v>
      </c>
      <c r="Y38" s="907">
        <f>Parameters!S139</f>
        <v>0.71500000000000008</v>
      </c>
      <c r="Z38" s="907">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6">
        <f t="shared" si="16"/>
        <v>0.13527885904981399</v>
      </c>
      <c r="AH38" s="914">
        <f>'Baseline data (from input)'!AS24*AG38</f>
        <v>3066.8916780085497</v>
      </c>
      <c r="AI38" s="907">
        <f>Parameters!S139</f>
        <v>0.71500000000000008</v>
      </c>
      <c r="AJ38" s="907">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48">
        <f t="shared" si="8"/>
        <v>0.13527885904981399</v>
      </c>
      <c r="X39" s="914">
        <f>'Baseline data (from input)'!AS25*W39</f>
        <v>3211.5210945049507</v>
      </c>
      <c r="Y39" s="907">
        <f>Parameters!S140</f>
        <v>0.71500000000000008</v>
      </c>
      <c r="Z39" s="907">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6">
        <f t="shared" si="16"/>
        <v>0.13527885904981399</v>
      </c>
      <c r="AH39" s="914">
        <f>'Baseline data (from input)'!AS25*AG39</f>
        <v>3211.5210945049507</v>
      </c>
      <c r="AI39" s="907">
        <f>Parameters!S140</f>
        <v>0.71500000000000008</v>
      </c>
      <c r="AJ39" s="907">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48">
        <f t="shared" si="8"/>
        <v>0.13527885904981399</v>
      </c>
      <c r="X40" s="914">
        <f>'Baseline data (from input)'!AS26*W40</f>
        <v>3380.0833715323015</v>
      </c>
      <c r="Y40" s="907">
        <f>Parameters!S141</f>
        <v>0.71500000000000008</v>
      </c>
      <c r="Z40" s="907">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6">
        <f t="shared" si="16"/>
        <v>0.13527885904981399</v>
      </c>
      <c r="AH40" s="914">
        <f>'Baseline data (from input)'!AS26*AG40</f>
        <v>3380.0833715323015</v>
      </c>
      <c r="AI40" s="907">
        <f>Parameters!S141</f>
        <v>0.71500000000000008</v>
      </c>
      <c r="AJ40" s="907">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48">
        <f t="shared" si="8"/>
        <v>0.13527885904981399</v>
      </c>
      <c r="X41" s="914">
        <f>'Baseline data (from input)'!AS27*W41</f>
        <v>3524.716139475715</v>
      </c>
      <c r="Y41" s="907">
        <f>Parameters!S142</f>
        <v>0.71500000000000008</v>
      </c>
      <c r="Z41" s="907">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6">
        <f t="shared" si="16"/>
        <v>0.13527885904981399</v>
      </c>
      <c r="AH41" s="914">
        <f>'Baseline data (from input)'!AS27*AG41</f>
        <v>3524.716139475715</v>
      </c>
      <c r="AI41" s="907">
        <f>Parameters!S142</f>
        <v>0.71500000000000008</v>
      </c>
      <c r="AJ41" s="907">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48">
        <f t="shared" si="8"/>
        <v>0.13527885904981399</v>
      </c>
      <c r="X42" s="914">
        <f>'Baseline data (from input)'!AS28*W42</f>
        <v>3583.0418042047595</v>
      </c>
      <c r="Y42" s="907">
        <f>Parameters!S143</f>
        <v>0.71500000000000008</v>
      </c>
      <c r="Z42" s="907">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6">
        <f t="shared" si="16"/>
        <v>0.13527885904981399</v>
      </c>
      <c r="AH42" s="914">
        <f>'Baseline data (from input)'!AS28*AG42</f>
        <v>3583.0418042047595</v>
      </c>
      <c r="AI42" s="907">
        <f>Parameters!S143</f>
        <v>0.71500000000000008</v>
      </c>
      <c r="AJ42" s="907">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48">
        <f t="shared" si="8"/>
        <v>0.13527885904981399</v>
      </c>
      <c r="X43" s="914">
        <f>'Baseline data (from input)'!AS29*W43</f>
        <v>3746.8583970602153</v>
      </c>
      <c r="Y43" s="907">
        <f>Parameters!S144</f>
        <v>0.71500000000000008</v>
      </c>
      <c r="Z43" s="907">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6">
        <f t="shared" si="16"/>
        <v>0.13527885904981399</v>
      </c>
      <c r="AH43" s="914">
        <f>'Baseline data (from input)'!AS29*AG43</f>
        <v>3746.8583970602153</v>
      </c>
      <c r="AI43" s="907">
        <f>Parameters!S144</f>
        <v>0.71500000000000008</v>
      </c>
      <c r="AJ43" s="907">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48">
        <f t="shared" si="8"/>
        <v>0.13527885904981399</v>
      </c>
      <c r="X44" s="914">
        <f>'Baseline data (from input)'!AS30*W44</f>
        <v>3975.8309542811171</v>
      </c>
      <c r="Y44" s="907">
        <f>Parameters!S145</f>
        <v>0.71500000000000008</v>
      </c>
      <c r="Z44" s="907">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6">
        <f t="shared" si="16"/>
        <v>0.13527885904981399</v>
      </c>
      <c r="AH44" s="914">
        <f>'Baseline data (from input)'!AS30*AG44</f>
        <v>3975.8309542811171</v>
      </c>
      <c r="AI44" s="907">
        <f>Parameters!S145</f>
        <v>0.71500000000000008</v>
      </c>
      <c r="AJ44" s="907">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48">
        <f t="shared" si="8"/>
        <v>0.13527885904981399</v>
      </c>
      <c r="X45" s="914">
        <f>'Baseline data (from input)'!AS31*W45</f>
        <v>4043.2391077160787</v>
      </c>
      <c r="Y45" s="907">
        <f>Parameters!S146</f>
        <v>0.71500000000000008</v>
      </c>
      <c r="Z45" s="907">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6">
        <f t="shared" si="16"/>
        <v>0.13527885904981399</v>
      </c>
      <c r="AH45" s="914">
        <f>'Baseline data (from input)'!AS31*AG45</f>
        <v>4043.2391077160787</v>
      </c>
      <c r="AI45" s="907">
        <f>Parameters!S146</f>
        <v>0.71500000000000008</v>
      </c>
      <c r="AJ45" s="907">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48">
        <f t="shared" si="8"/>
        <v>0.13527885904981399</v>
      </c>
      <c r="X46" s="914">
        <f>'Baseline data (from input)'!AS32*W46</f>
        <v>4134.2081083134963</v>
      </c>
      <c r="Y46" s="907">
        <f>Parameters!S147</f>
        <v>0.71500000000000008</v>
      </c>
      <c r="Z46" s="907">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6">
        <f t="shared" si="16"/>
        <v>0.13527885904981399</v>
      </c>
      <c r="AH46" s="914">
        <f>'Baseline data (from input)'!AS32*AG46</f>
        <v>4134.2081083134963</v>
      </c>
      <c r="AI46" s="907">
        <f>Parameters!S147</f>
        <v>0.71500000000000008</v>
      </c>
      <c r="AJ46" s="907">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48">
        <f t="shared" si="8"/>
        <v>0.13527885904981399</v>
      </c>
      <c r="X47" s="914">
        <f>'Baseline data (from input)'!AS33*W47</f>
        <v>4130.3204009580104</v>
      </c>
      <c r="Y47" s="907">
        <f>Parameters!S148</f>
        <v>0.71500000000000008</v>
      </c>
      <c r="Z47" s="907">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6">
        <f t="shared" si="16"/>
        <v>0.13527885904981399</v>
      </c>
      <c r="AH47" s="914">
        <f>'Baseline data (from input)'!AS33*AG47</f>
        <v>4130.3204009580104</v>
      </c>
      <c r="AI47" s="907">
        <f>Parameters!S148</f>
        <v>0.71500000000000008</v>
      </c>
      <c r="AJ47" s="907">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48">
        <f t="shared" si="8"/>
        <v>0.13527885904981399</v>
      </c>
      <c r="X48" s="914">
        <f>'Baseline data (from input)'!AS34*W48</f>
        <v>4254.8309318975771</v>
      </c>
      <c r="Y48" s="907">
        <f>Parameters!S149</f>
        <v>0.71500000000000008</v>
      </c>
      <c r="Z48" s="907">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6">
        <f t="shared" si="16"/>
        <v>0.13527885904981399</v>
      </c>
      <c r="AH48" s="914">
        <f>'Baseline data (from input)'!AS34*AG48</f>
        <v>4254.8309318975771</v>
      </c>
      <c r="AI48" s="907">
        <f>Parameters!S149</f>
        <v>0.71500000000000008</v>
      </c>
      <c r="AJ48" s="907">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48">
        <f t="shared" si="8"/>
        <v>0.13527885904981399</v>
      </c>
      <c r="X49" s="914">
        <f>'Baseline data (from input)'!AS35*W49</f>
        <v>4416.110460565309</v>
      </c>
      <c r="Y49" s="907">
        <f>Parameters!S150</f>
        <v>0.71500000000000008</v>
      </c>
      <c r="Z49" s="907">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6">
        <f t="shared" si="16"/>
        <v>0.13527885904981399</v>
      </c>
      <c r="AH49" s="914">
        <f>'Baseline data (from input)'!AS35*AG49</f>
        <v>4416.110460565309</v>
      </c>
      <c r="AI49" s="907">
        <f>Parameters!S150</f>
        <v>0.71500000000000008</v>
      </c>
      <c r="AJ49" s="907">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48">
        <f t="shared" si="8"/>
        <v>0.13527885904981399</v>
      </c>
      <c r="X50" s="914">
        <f>'Baseline data (from input)'!AS36*W50</f>
        <v>4708.4828108779766</v>
      </c>
      <c r="Y50" s="907">
        <f>Parameters!S151</f>
        <v>0.71500000000000008</v>
      </c>
      <c r="Z50" s="907">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6">
        <f t="shared" si="16"/>
        <v>0.13527885904981399</v>
      </c>
      <c r="AH50" s="914">
        <f>'Baseline data (from input)'!AS36*AG50</f>
        <v>4708.4828108779766</v>
      </c>
      <c r="AI50" s="907">
        <f>Parameters!S151</f>
        <v>0.71500000000000008</v>
      </c>
      <c r="AJ50" s="907">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48">
        <f t="shared" si="8"/>
        <v>0.13527885904981399</v>
      </c>
      <c r="X51" s="914">
        <f>'Baseline data (from input)'!AS37*W51</f>
        <v>4960.8922107878961</v>
      </c>
      <c r="Y51" s="907">
        <f>Parameters!S152</f>
        <v>0.71500000000000008</v>
      </c>
      <c r="Z51" s="907">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6">
        <f t="shared" si="16"/>
        <v>0.13527885904981399</v>
      </c>
      <c r="AH51" s="914">
        <f>'Baseline data (from input)'!AS37*AG51</f>
        <v>4960.8922107878961</v>
      </c>
      <c r="AI51" s="907">
        <f>Parameters!S152</f>
        <v>0.71500000000000008</v>
      </c>
      <c r="AJ51" s="907">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48">
        <f t="shared" si="8"/>
        <v>0.13527885904981399</v>
      </c>
      <c r="X52" s="914">
        <f>'Baseline data (from input)'!AS38*W52</f>
        <v>4941.8726079916951</v>
      </c>
      <c r="Y52" s="907">
        <f>Parameters!S153</f>
        <v>0.71500000000000008</v>
      </c>
      <c r="Z52" s="907">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6">
        <f t="shared" si="16"/>
        <v>0.13527885904981399</v>
      </c>
      <c r="AH52" s="914">
        <f>'Baseline data (from input)'!AS38*AG52</f>
        <v>4941.8726079916951</v>
      </c>
      <c r="AI52" s="907">
        <f>Parameters!S153</f>
        <v>0.71500000000000008</v>
      </c>
      <c r="AJ52" s="907">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48">
        <f t="shared" si="8"/>
        <v>0.13527885904981399</v>
      </c>
      <c r="X53" s="914">
        <f>'Baseline data (from input)'!AS39*W53</f>
        <v>4850.6187322884489</v>
      </c>
      <c r="Y53" s="907">
        <f>Parameters!S154</f>
        <v>0.71500000000000008</v>
      </c>
      <c r="Z53" s="907">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6">
        <f t="shared" si="16"/>
        <v>0.13527885904981399</v>
      </c>
      <c r="AH53" s="914">
        <f>'Baseline data (from input)'!AS39*AG53</f>
        <v>4850.6187322884489</v>
      </c>
      <c r="AI53" s="907">
        <f>Parameters!S154</f>
        <v>0.71500000000000008</v>
      </c>
      <c r="AJ53" s="907">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48">
        <f t="shared" si="8"/>
        <v>0.13527885904981399</v>
      </c>
      <c r="X54" s="914">
        <f>'Baseline data (from input)'!AS40*W54</f>
        <v>5097.9573552938209</v>
      </c>
      <c r="Y54" s="907">
        <f>Parameters!S155</f>
        <v>0.71500000000000008</v>
      </c>
      <c r="Z54" s="907">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6">
        <f t="shared" si="16"/>
        <v>0.13527885904981399</v>
      </c>
      <c r="AH54" s="914">
        <f>'Baseline data (from input)'!AS40*AG54</f>
        <v>5097.9573552938209</v>
      </c>
      <c r="AI54" s="907">
        <f>Parameters!S155</f>
        <v>0.71500000000000008</v>
      </c>
      <c r="AJ54" s="907">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48">
        <f t="shared" si="8"/>
        <v>0.13527885904981399</v>
      </c>
      <c r="X55" s="914">
        <f>'Baseline data (from input)'!AS41*W55</f>
        <v>5036.1964319328727</v>
      </c>
      <c r="Y55" s="907">
        <f>Parameters!S156</f>
        <v>0.71500000000000008</v>
      </c>
      <c r="Z55" s="907">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6">
        <f t="shared" si="16"/>
        <v>0.13527885904981399</v>
      </c>
      <c r="AH55" s="914">
        <f>'Baseline data (from input)'!AS41*AG55</f>
        <v>5036.1964319328727</v>
      </c>
      <c r="AI55" s="907">
        <f>Parameters!S156</f>
        <v>0.71500000000000008</v>
      </c>
      <c r="AJ55" s="907">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48">
        <f t="shared" si="8"/>
        <v>0.13527885904981399</v>
      </c>
      <c r="X56" s="914">
        <f>'Baseline data (from input)'!AS42*W56</f>
        <v>5037.0946263861515</v>
      </c>
      <c r="Y56" s="907">
        <f>Parameters!S157</f>
        <v>0.71500000000000008</v>
      </c>
      <c r="Z56" s="907">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6">
        <f t="shared" si="16"/>
        <v>0.13527885904981399</v>
      </c>
      <c r="AH56" s="914">
        <f>'Baseline data (from input)'!AS42*AG56</f>
        <v>5037.0946263861515</v>
      </c>
      <c r="AI56" s="907">
        <f>Parameters!S157</f>
        <v>0.71500000000000008</v>
      </c>
      <c r="AJ56" s="907">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48">
        <f t="shared" si="8"/>
        <v>0.13527885904981399</v>
      </c>
      <c r="X57" s="914">
        <f>'Baseline data (from input)'!AS43*W57</f>
        <v>5142.9106473177444</v>
      </c>
      <c r="Y57" s="907">
        <f>Parameters!S158</f>
        <v>0.71500000000000008</v>
      </c>
      <c r="Z57" s="907">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6">
        <f t="shared" si="16"/>
        <v>0.13527885904981399</v>
      </c>
      <c r="AH57" s="914">
        <f>'Baseline data (from input)'!AS43*AG57</f>
        <v>5142.9106473177444</v>
      </c>
      <c r="AI57" s="907">
        <f>Parameters!S158</f>
        <v>0.71500000000000008</v>
      </c>
      <c r="AJ57" s="907">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48">
        <f t="shared" si="8"/>
        <v>0.13527885904981399</v>
      </c>
      <c r="X58" s="914">
        <f>'Baseline data (from input)'!AS44*W58</f>
        <v>5358.9197113817227</v>
      </c>
      <c r="Y58" s="907">
        <f>Parameters!S159</f>
        <v>0.71500000000000008</v>
      </c>
      <c r="Z58" s="907">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6">
        <f t="shared" si="16"/>
        <v>0.13527885904981399</v>
      </c>
      <c r="AH58" s="914">
        <f>'Baseline data (from input)'!AS44*AG58</f>
        <v>5358.9197113817227</v>
      </c>
      <c r="AI58" s="907">
        <f>Parameters!S159</f>
        <v>0.71500000000000008</v>
      </c>
      <c r="AJ58" s="907">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48">
        <f t="shared" si="8"/>
        <v>0.13527885904981399</v>
      </c>
      <c r="X59" s="914">
        <f>'Baseline data (from input)'!AS45*W59</f>
        <v>5487.2542717234219</v>
      </c>
      <c r="Y59" s="907">
        <f>Parameters!S160</f>
        <v>0.71500000000000008</v>
      </c>
      <c r="Z59" s="907">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6">
        <f t="shared" si="16"/>
        <v>0.13527885904981399</v>
      </c>
      <c r="AH59" s="914">
        <f>'Baseline data (from input)'!AS45*AG59</f>
        <v>5487.2542717234219</v>
      </c>
      <c r="AI59" s="907">
        <f>Parameters!S160</f>
        <v>0.71500000000000008</v>
      </c>
      <c r="AJ59" s="907">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48">
        <f t="shared" si="8"/>
        <v>0.13527885904981399</v>
      </c>
      <c r="X60" s="914">
        <f>'Baseline data (from input)'!AS46*W60</f>
        <v>5469.8165636421863</v>
      </c>
      <c r="Y60" s="907">
        <f>Parameters!S161</f>
        <v>0.71500000000000008</v>
      </c>
      <c r="Z60" s="907">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6">
        <f t="shared" si="16"/>
        <v>0.13527885904981399</v>
      </c>
      <c r="AH60" s="914">
        <f>'Baseline data (from input)'!AS46*AG60</f>
        <v>5469.8165636421863</v>
      </c>
      <c r="AI60" s="907">
        <f>Parameters!S161</f>
        <v>0.71500000000000008</v>
      </c>
      <c r="AJ60" s="907">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48">
        <f t="shared" si="8"/>
        <v>0.13527885904981399</v>
      </c>
      <c r="X61" s="914">
        <f>'Baseline data (from input)'!AS47*W61</f>
        <v>5414.1218043745357</v>
      </c>
      <c r="Y61" s="907">
        <f>Parameters!S162</f>
        <v>0.71500000000000008</v>
      </c>
      <c r="Z61" s="907">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6">
        <f t="shared" si="16"/>
        <v>0.13527885904981399</v>
      </c>
      <c r="AH61" s="914">
        <f>'Baseline data (from input)'!AS47*AG61</f>
        <v>5414.1218043745357</v>
      </c>
      <c r="AI61" s="907">
        <f>Parameters!S162</f>
        <v>0.71500000000000008</v>
      </c>
      <c r="AJ61" s="907">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48">
        <f t="shared" si="8"/>
        <v>0.13527885904981399</v>
      </c>
      <c r="X62" s="914">
        <f>'Baseline data (from input)'!AS48*W62</f>
        <v>5298.4189413752983</v>
      </c>
      <c r="Y62" s="907">
        <f>Parameters!S163</f>
        <v>0.71500000000000008</v>
      </c>
      <c r="Z62" s="907">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6">
        <f t="shared" si="16"/>
        <v>0.13527885904981399</v>
      </c>
      <c r="AH62" s="914">
        <f>'Baseline data (from input)'!AS48*AG62</f>
        <v>5298.4189413752983</v>
      </c>
      <c r="AI62" s="907">
        <f>Parameters!S163</f>
        <v>0.71500000000000008</v>
      </c>
      <c r="AJ62" s="907">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48">
        <f t="shared" si="8"/>
        <v>0.13527885904981399</v>
      </c>
      <c r="X63" s="914">
        <f>'Baseline data (from input)'!AS49*W63</f>
        <v>5363.7759940913274</v>
      </c>
      <c r="Y63" s="907">
        <f>Parameters!S164</f>
        <v>0.71500000000000008</v>
      </c>
      <c r="Z63" s="907">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6">
        <f t="shared" si="16"/>
        <v>0.13527885904981399</v>
      </c>
      <c r="AH63" s="914">
        <f>'Baseline data (from input)'!AS49*AG63</f>
        <v>5363.7759940913274</v>
      </c>
      <c r="AI63" s="907">
        <f>Parameters!S164</f>
        <v>0.71500000000000008</v>
      </c>
      <c r="AJ63" s="907">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48">
        <f t="shared" si="8"/>
        <v>0.13527885904981399</v>
      </c>
      <c r="X64" s="914">
        <f>'Baseline data (from input)'!AS50*W64</f>
        <v>5535.4168821682597</v>
      </c>
      <c r="Y64" s="907">
        <f>Parameters!S165</f>
        <v>0.71500000000000008</v>
      </c>
      <c r="Z64" s="907">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6">
        <f t="shared" si="16"/>
        <v>0.13527885904981399</v>
      </c>
      <c r="AH64" s="914">
        <f>'Baseline data (from input)'!AS50*AG64</f>
        <v>5535.4168821682597</v>
      </c>
      <c r="AI64" s="907">
        <f>Parameters!S165</f>
        <v>0.71500000000000008</v>
      </c>
      <c r="AJ64" s="907">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48">
        <f t="shared" si="8"/>
        <v>0.13527885904981399</v>
      </c>
      <c r="X65" s="914">
        <f>'Baseline data (from input)'!AS51*W65</f>
        <v>5707.014551882673</v>
      </c>
      <c r="Y65" s="907">
        <f>Parameters!S166</f>
        <v>0.71500000000000008</v>
      </c>
      <c r="Z65" s="907">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6">
        <f t="shared" si="16"/>
        <v>0.13527885904981399</v>
      </c>
      <c r="AH65" s="914">
        <f>'Baseline data (from input)'!AS51*AG65</f>
        <v>5707.014551882673</v>
      </c>
      <c r="AI65" s="907">
        <f>Parameters!S166</f>
        <v>0.71500000000000008</v>
      </c>
      <c r="AJ65" s="907">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48">
        <f t="shared" si="8"/>
        <v>0.13527885904981399</v>
      </c>
      <c r="X66" s="914">
        <f>'Baseline data (from input)'!AS52*W66</f>
        <v>5952.4161183177466</v>
      </c>
      <c r="Y66" s="907">
        <f>Parameters!S167</f>
        <v>0.71500000000000008</v>
      </c>
      <c r="Z66" s="907">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6">
        <f t="shared" si="16"/>
        <v>0.13527885904981399</v>
      </c>
      <c r="AH66" s="914">
        <f>'Baseline data (from input)'!AS52*AG66</f>
        <v>5952.4161183177466</v>
      </c>
      <c r="AI66" s="907">
        <f>Parameters!S167</f>
        <v>0.71500000000000008</v>
      </c>
      <c r="AJ66" s="907">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48">
        <f t="shared" si="8"/>
        <v>0.13527885904981399</v>
      </c>
      <c r="X67" s="914">
        <f>'Baseline data (from input)'!AS53*W67</f>
        <v>6107.1790633471337</v>
      </c>
      <c r="Y67" s="907">
        <f>Parameters!S168</f>
        <v>0.71500000000000008</v>
      </c>
      <c r="Z67" s="907">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6">
        <f t="shared" si="16"/>
        <v>0.13527885904981399</v>
      </c>
      <c r="AH67" s="914">
        <f>'Baseline data (from input)'!AS53*AG67</f>
        <v>6107.1790633471337</v>
      </c>
      <c r="AI67" s="907">
        <f>Parameters!S168</f>
        <v>0.71500000000000008</v>
      </c>
      <c r="AJ67" s="907">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48">
        <f t="shared" si="8"/>
        <v>0.13527885904981399</v>
      </c>
      <c r="X68" s="914">
        <f>'Baseline data (from input)'!AS54*W68</f>
        <v>6137.7150139338401</v>
      </c>
      <c r="Y68" s="907">
        <f>Parameters!S169</f>
        <v>0.71500000000000008</v>
      </c>
      <c r="Z68" s="907">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6">
        <f t="shared" si="16"/>
        <v>0.13527885904981399</v>
      </c>
      <c r="AH68" s="914">
        <f>'Baseline data (from input)'!AS54*AG68</f>
        <v>6137.7150139338401</v>
      </c>
      <c r="AI68" s="907">
        <f>Parameters!S169</f>
        <v>0.71500000000000008</v>
      </c>
      <c r="AJ68" s="907">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48">
        <f t="shared" si="8"/>
        <v>0.13527885904981399</v>
      </c>
      <c r="X69" s="914">
        <f>'Baseline data (from input)'!AS55*W69</f>
        <v>6285.0199437970532</v>
      </c>
      <c r="Y69" s="907">
        <f>Parameters!S170</f>
        <v>0.71500000000000008</v>
      </c>
      <c r="Z69" s="907">
        <f t="shared" si="9"/>
        <v>0.4</v>
      </c>
      <c r="AA69" s="906">
        <f t="shared" si="10"/>
        <v>898.75785196297875</v>
      </c>
      <c r="AB69" s="906">
        <f t="shared" si="11"/>
        <v>898.75785196297875</v>
      </c>
      <c r="AC69" s="286">
        <f t="shared" si="12"/>
        <v>0</v>
      </c>
      <c r="AD69" s="906">
        <f t="shared" si="13"/>
        <v>12537.571695398445</v>
      </c>
      <c r="AE69" s="906">
        <f t="shared" si="14"/>
        <v>596.73474626938241</v>
      </c>
      <c r="AF69" s="1072">
        <f t="shared" si="15"/>
        <v>397.82316417958828</v>
      </c>
      <c r="AG69" s="1446">
        <f t="shared" si="16"/>
        <v>0.13527885904981399</v>
      </c>
      <c r="AH69" s="914">
        <f>'Baseline data (from input)'!AS55*AG69</f>
        <v>6285.0199437970532</v>
      </c>
      <c r="AI69" s="907">
        <f>Parameters!S170</f>
        <v>0.71500000000000008</v>
      </c>
      <c r="AJ69" s="907">
        <f t="shared" si="17"/>
        <v>0.4</v>
      </c>
      <c r="AK69" s="906">
        <f t="shared" si="18"/>
        <v>898.75785196297875</v>
      </c>
      <c r="AL69" s="906">
        <f t="shared" si="19"/>
        <v>898.75785196297875</v>
      </c>
      <c r="AM69" s="286">
        <f t="shared" si="20"/>
        <v>0</v>
      </c>
      <c r="AN69" s="906">
        <f t="shared" si="21"/>
        <v>12537.571695398445</v>
      </c>
      <c r="AO69" s="906">
        <f t="shared" si="22"/>
        <v>596.73474626938241</v>
      </c>
      <c r="AP69" s="1072">
        <f t="shared" si="23"/>
        <v>397.82316417958828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48">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AC70+AD69*(1-$D$8)</f>
        <v>611.46458694814078</v>
      </c>
      <c r="AF70" s="896">
        <f>AE70*16/12*$D$11</f>
        <v>407.6430579654272</v>
      </c>
      <c r="AG70" s="1446">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48">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6">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3">
        <f t="shared" si="31"/>
        <v>352.50382234400405</v>
      </c>
      <c r="BC71" s="1604">
        <f t="shared" si="32"/>
        <v>418.2113531506368</v>
      </c>
      <c r="BD71" s="1605">
        <f t="shared" ref="BD71:BD87" si="53">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48">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6">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3">
        <f t="shared" si="31"/>
        <v>365.04160146921089</v>
      </c>
      <c r="BC72" s="1604">
        <f t="shared" si="32"/>
        <v>429.08635544976073</v>
      </c>
      <c r="BD72" s="1605">
        <f t="shared" si="53"/>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48">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4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3">
        <f t="shared" si="31"/>
        <v>377.380320424339</v>
      </c>
      <c r="BC73" s="1604">
        <f t="shared" si="32"/>
        <v>440.58813938995121</v>
      </c>
      <c r="BD73" s="1605">
        <f t="shared" si="53"/>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48">
        <f t="shared" ref="W74:W81" si="55">($W$82-$W$72)/($A$82-$A$72)+W73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48">
        <f t="shared" ref="AG74:AG81" si="56">($AG$82-$AG$72)/($A$82-$A$72)+AG73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3">
        <f t="shared" si="31"/>
        <v>389.50320822466421</v>
      </c>
      <c r="BC74" s="1604">
        <f t="shared" si="32"/>
        <v>449.33471885423859</v>
      </c>
      <c r="BD74" s="1605">
        <f t="shared" si="53"/>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48">
        <f t="shared" si="55"/>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48">
        <f t="shared" si="56"/>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3">
        <f t="shared" si="31"/>
        <v>401.39828370560582</v>
      </c>
      <c r="BC75" s="1604">
        <f t="shared" si="32"/>
        <v>455.80540481488362</v>
      </c>
      <c r="BD75" s="1605">
        <f t="shared" si="53"/>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48">
        <f t="shared" si="55"/>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48">
        <f t="shared" si="56"/>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3">
        <f t="shared" si="31"/>
        <v>413.06606569957484</v>
      </c>
      <c r="BC76" s="1604">
        <f t="shared" si="32"/>
        <v>460.13310664023578</v>
      </c>
      <c r="BD76" s="1605">
        <f t="shared" si="53"/>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48">
        <f t="shared" si="55"/>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48">
        <f t="shared" si="56"/>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3">
        <f t="shared" si="31"/>
        <v>424.51763944073804</v>
      </c>
      <c r="BC77" s="1604">
        <f t="shared" si="32"/>
        <v>462.30164861039526</v>
      </c>
      <c r="BD77" s="1605">
        <f t="shared" si="53"/>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48">
        <f t="shared" si="55"/>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48">
        <f t="shared" si="56"/>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3">
        <f t="shared" si="31"/>
        <v>435.75891565885144</v>
      </c>
      <c r="BC78" s="1604">
        <f t="shared" si="32"/>
        <v>462.14243125415283</v>
      </c>
      <c r="BD78" s="1605">
        <f t="shared" si="53"/>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48">
        <f t="shared" si="55"/>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48">
        <f t="shared" si="56"/>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3">
        <f t="shared" si="31"/>
        <v>446.80677050108471</v>
      </c>
      <c r="BC79" s="1604">
        <f t="shared" si="32"/>
        <v>459.13306952818652</v>
      </c>
      <c r="BD79" s="1605">
        <f t="shared" si="53"/>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48">
        <f t="shared" si="55"/>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48">
        <f t="shared" si="56"/>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3">
        <f t="shared" si="31"/>
        <v>457.66467940490338</v>
      </c>
      <c r="BC80" s="1604">
        <f t="shared" si="32"/>
        <v>452.53335460608736</v>
      </c>
      <c r="BD80" s="1605">
        <f t="shared" si="53"/>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48">
        <f t="shared" si="55"/>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48">
        <f t="shared" si="56"/>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3">
        <f t="shared" si="31"/>
        <v>465.58393089502232</v>
      </c>
      <c r="BC81" s="1604">
        <f t="shared" si="32"/>
        <v>443.27742511609495</v>
      </c>
      <c r="BD81" s="1605">
        <f t="shared" si="53"/>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49">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7">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3">
        <f t="shared" si="31"/>
        <v>471.51055951772577</v>
      </c>
      <c r="BC82" s="1604">
        <f t="shared" si="32"/>
        <v>431.40785228448499</v>
      </c>
      <c r="BD82" s="1605">
        <f t="shared" si="53"/>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49">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7">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3">
        <f t="shared" si="31"/>
        <v>474.78721249604229</v>
      </c>
      <c r="BC83" s="1604">
        <f t="shared" si="32"/>
        <v>416.85758956150511</v>
      </c>
      <c r="BD83" s="1605">
        <f t="shared" si="53"/>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49">
        <f t="shared" ref="W84:W87" si="58">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7">
        <f t="shared" ref="AG84:AG87" si="59">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3">
        <f t="shared" si="31"/>
        <v>475.71077220994249</v>
      </c>
      <c r="BC84" s="1604">
        <f t="shared" si="32"/>
        <v>403.18657895653814</v>
      </c>
      <c r="BD84" s="1605">
        <f t="shared" si="53"/>
        <v>4.7452171293671848</v>
      </c>
      <c r="BE84" s="1604">
        <f t="shared" ref="BE84:BE120" si="60">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61">SUM(BI84:BK84)</f>
        <v>883.64256829584781</v>
      </c>
      <c r="BM84" s="1606">
        <v>0</v>
      </c>
      <c r="BN84" s="1607">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49">
        <f t="shared" si="58"/>
        <v>2.197312110627072E-2</v>
      </c>
      <c r="X85" s="891">
        <f>'Baseline data (from input)'!AS71*W85</f>
        <v>1476.20316835363</v>
      </c>
      <c r="Y85" s="885">
        <f>Parameters!S186</f>
        <v>0.71500000000000008</v>
      </c>
      <c r="Z85" s="885">
        <f t="shared" ref="Z85:Z120" si="68">$D$3</f>
        <v>0.4</v>
      </c>
      <c r="AA85" s="884">
        <f t="shared" ref="AA85:AA120" si="69">X85*Z85*Y85*$D$4</f>
        <v>211.09705307456915</v>
      </c>
      <c r="AB85" s="884">
        <f t="shared" ref="AB85:AB120" si="70">AA85*$D$10</f>
        <v>211.09705307456915</v>
      </c>
      <c r="AC85" s="886">
        <f t="shared" ref="AC85:AC120" si="71">AA85*(1-$D$10)</f>
        <v>0</v>
      </c>
      <c r="AD85" s="884">
        <f t="shared" ref="AD85:AD120" si="72">AB85+(AD84*$D$8)</f>
        <v>11629.847256487088</v>
      </c>
      <c r="AE85" s="884">
        <f t="shared" ref="AE85:AE120" si="73">AC85+AD84*(1-$D$8)</f>
        <v>585.45184217290728</v>
      </c>
      <c r="AF85" s="897">
        <f t="shared" ref="AF85:AF120" si="74">AE85*16/12*$D$11</f>
        <v>390.3012281152715</v>
      </c>
      <c r="AG85" s="1447">
        <f t="shared" si="59"/>
        <v>2.197312110627072E-2</v>
      </c>
      <c r="AH85" s="891">
        <f>'Baseline data (from input)'!AS71*AG85</f>
        <v>1476.20316835363</v>
      </c>
      <c r="AI85" s="885">
        <f>Parameters!S186</f>
        <v>0.71500000000000008</v>
      </c>
      <c r="AJ85" s="885">
        <f t="shared" ref="AJ85:AJ120" si="75">$D$3</f>
        <v>0.4</v>
      </c>
      <c r="AK85" s="884">
        <f t="shared" ref="AK85:AK120" si="76">AH85*AJ85*AI85*$D$4</f>
        <v>211.09705307456915</v>
      </c>
      <c r="AL85" s="884">
        <f t="shared" ref="AL85:AL120" si="77">AK85*$D$10</f>
        <v>211.09705307456915</v>
      </c>
      <c r="AM85" s="886">
        <f t="shared" ref="AM85:AM120" si="78">AK85*(1-$D$10)</f>
        <v>0</v>
      </c>
      <c r="AN85" s="884">
        <f t="shared" ref="AN85:AN120" si="79">AL85+(AN84*$D$8)</f>
        <v>11629.847256487088</v>
      </c>
      <c r="AO85" s="884">
        <f t="shared" ref="AO85:AO120" si="80">AM85+AN84*(1-$D$8)</f>
        <v>585.45184217290728</v>
      </c>
      <c r="AP85" s="897">
        <f t="shared" ref="AP85:AP120" si="81">AO85*16/12*$D$11</f>
        <v>390.3012281152715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3">
        <f t="shared" ref="BB85:BB120" si="86">V85</f>
        <v>474.45668773704853</v>
      </c>
      <c r="BC85" s="1604">
        <f t="shared" ref="BC85:BC120" si="87">AF85</f>
        <v>390.3012281152715</v>
      </c>
      <c r="BD85" s="1605">
        <f t="shared" si="53"/>
        <v>4.9551433411659982</v>
      </c>
      <c r="BE85" s="1604">
        <f t="shared" si="60"/>
        <v>869.71305919348606</v>
      </c>
      <c r="BF85" s="1606">
        <v>0</v>
      </c>
      <c r="BG85" s="1607">
        <f t="shared" ref="BG85:BG120" si="88">BE85-BF85</f>
        <v>869.71305919348606</v>
      </c>
      <c r="BI85" s="1603">
        <f t="shared" ref="BI85:BI120" si="89">V85</f>
        <v>474.45668773704853</v>
      </c>
      <c r="BJ85" s="1604">
        <f t="shared" ref="BJ85:BJ120" si="90">AP85</f>
        <v>390.3012281152715</v>
      </c>
      <c r="BK85" s="1605">
        <f t="shared" ref="BK85:BK120" si="91">AZ85</f>
        <v>4.9551433411659982</v>
      </c>
      <c r="BL85" s="1604">
        <f t="shared" si="61"/>
        <v>869.71305919348606</v>
      </c>
      <c r="BM85" s="1606">
        <v>0</v>
      </c>
      <c r="BN85" s="1607">
        <f t="shared" ref="BN85:BN120" si="92">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49">
        <f t="shared" si="58"/>
        <v>2.197312110627072E-2</v>
      </c>
      <c r="X86" s="891">
        <f>'Baseline data (from input)'!AS72*W86</f>
        <v>1487.1215458011513</v>
      </c>
      <c r="Y86" s="885">
        <f>Parameters!S187</f>
        <v>0.71500000000000008</v>
      </c>
      <c r="Z86" s="885">
        <f t="shared" si="68"/>
        <v>0.4</v>
      </c>
      <c r="AA86" s="884">
        <f t="shared" si="69"/>
        <v>212.65838104956467</v>
      </c>
      <c r="AB86" s="884">
        <f t="shared" si="70"/>
        <v>212.65838104956467</v>
      </c>
      <c r="AC86" s="886">
        <f t="shared" si="71"/>
        <v>0</v>
      </c>
      <c r="AD86" s="884">
        <f t="shared" si="72"/>
        <v>11275.311293868985</v>
      </c>
      <c r="AE86" s="884">
        <f t="shared" si="73"/>
        <v>567.19434366766745</v>
      </c>
      <c r="AF86" s="897">
        <f t="shared" si="74"/>
        <v>378.12956244511162</v>
      </c>
      <c r="AG86" s="1447">
        <f t="shared" si="59"/>
        <v>2.197312110627072E-2</v>
      </c>
      <c r="AH86" s="891">
        <f>'Baseline data (from input)'!AS72*AG86</f>
        <v>1487.1215458011513</v>
      </c>
      <c r="AI86" s="885">
        <f>Parameters!S187</f>
        <v>0.71500000000000008</v>
      </c>
      <c r="AJ86" s="885">
        <f t="shared" si="75"/>
        <v>0.4</v>
      </c>
      <c r="AK86" s="884">
        <f t="shared" si="76"/>
        <v>212.65838104956467</v>
      </c>
      <c r="AL86" s="884">
        <f t="shared" si="77"/>
        <v>212.65838104956467</v>
      </c>
      <c r="AM86" s="886">
        <f t="shared" si="78"/>
        <v>0</v>
      </c>
      <c r="AN86" s="884">
        <f t="shared" si="79"/>
        <v>11275.311293868985</v>
      </c>
      <c r="AO86" s="884">
        <f t="shared" si="80"/>
        <v>567.19434366766745</v>
      </c>
      <c r="AP86" s="897">
        <f t="shared" si="81"/>
        <v>378.12956244511162</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3">
        <f t="shared" si="86"/>
        <v>471.19383124565587</v>
      </c>
      <c r="BC86" s="1604">
        <f t="shared" si="87"/>
        <v>378.12956244511162</v>
      </c>
      <c r="BD86" s="1605">
        <f t="shared" si="53"/>
        <v>5.1528444021078155</v>
      </c>
      <c r="BE86" s="1604">
        <f t="shared" si="60"/>
        <v>854.47623809287529</v>
      </c>
      <c r="BF86" s="1606">
        <v>0</v>
      </c>
      <c r="BG86" s="1607">
        <f t="shared" si="88"/>
        <v>854.47623809287529</v>
      </c>
      <c r="BI86" s="1603">
        <f t="shared" si="89"/>
        <v>471.19383124565587</v>
      </c>
      <c r="BJ86" s="1604">
        <f t="shared" si="90"/>
        <v>378.12956244511162</v>
      </c>
      <c r="BK86" s="1605">
        <f t="shared" si="91"/>
        <v>5.1528444021078155</v>
      </c>
      <c r="BL86" s="1604">
        <f t="shared" si="61"/>
        <v>854.47623809287529</v>
      </c>
      <c r="BM86" s="1606">
        <v>0</v>
      </c>
      <c r="BN86" s="1607">
        <f t="shared" si="92"/>
        <v>854.47623809287529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49">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10940.456135133396</v>
      </c>
      <c r="AE87" s="884">
        <f t="shared" si="73"/>
        <v>549.90342073558929</v>
      </c>
      <c r="AF87" s="897">
        <f t="shared" si="74"/>
        <v>366.60228049039284</v>
      </c>
      <c r="AG87" s="1447">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10940.456135133396</v>
      </c>
      <c r="AO87" s="894">
        <f t="shared" si="80"/>
        <v>549.90342073558929</v>
      </c>
      <c r="AP87" s="898">
        <f t="shared" si="81"/>
        <v>366.60228049039284</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08">
        <f t="shared" si="86"/>
        <v>466.08505262809604</v>
      </c>
      <c r="BC87" s="1609">
        <f t="shared" si="87"/>
        <v>366.60228049039284</v>
      </c>
      <c r="BD87" s="1610">
        <f t="shared" si="53"/>
        <v>5.3390322495547968</v>
      </c>
      <c r="BE87" s="1609">
        <f t="shared" si="60"/>
        <v>838.02636536804357</v>
      </c>
      <c r="BF87" s="1611">
        <v>0</v>
      </c>
      <c r="BG87" s="1612">
        <f t="shared" si="88"/>
        <v>838.02636536804357</v>
      </c>
      <c r="BI87" s="1608">
        <f t="shared" si="89"/>
        <v>466.08505262809604</v>
      </c>
      <c r="BJ87" s="1609">
        <f t="shared" si="90"/>
        <v>366.60228049039284</v>
      </c>
      <c r="BK87" s="1610">
        <f t="shared" si="91"/>
        <v>5.3390322495547968</v>
      </c>
      <c r="BL87" s="1609">
        <f t="shared" si="61"/>
        <v>838.02636536804357</v>
      </c>
      <c r="BM87" s="1611">
        <v>0</v>
      </c>
      <c r="BN87" s="1612">
        <f t="shared" si="92"/>
        <v>838.02636536804357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7"/>
      <c r="X88" s="1019">
        <f>'Recycling - Case 1'!AM138</f>
        <v>1194.4037651748863</v>
      </c>
      <c r="Y88" s="1020">
        <f>Parameters!S189</f>
        <v>0.71500000000000008</v>
      </c>
      <c r="Z88" s="1021">
        <f t="shared" si="68"/>
        <v>0.4</v>
      </c>
      <c r="AA88" s="1022">
        <f t="shared" si="69"/>
        <v>170.79973842000877</v>
      </c>
      <c r="AB88" s="1022">
        <f t="shared" si="70"/>
        <v>170.79973842000877</v>
      </c>
      <c r="AC88" s="1023">
        <f t="shared" si="71"/>
        <v>0</v>
      </c>
      <c r="AD88" s="1022">
        <f t="shared" si="72"/>
        <v>10577.683531618253</v>
      </c>
      <c r="AE88" s="1022">
        <f t="shared" si="73"/>
        <v>533.57234193514978</v>
      </c>
      <c r="AF88" s="1024">
        <f t="shared" si="74"/>
        <v>355.71489462343317</v>
      </c>
      <c r="AG88" s="99"/>
      <c r="AH88" s="1019">
        <f>'Recycling - Case 1'!AM178</f>
        <v>1194.4037651748863</v>
      </c>
      <c r="AI88" s="1020">
        <f>Parameters!S189</f>
        <v>0.71500000000000008</v>
      </c>
      <c r="AJ88" s="1021">
        <f t="shared" si="75"/>
        <v>0.4</v>
      </c>
      <c r="AK88" s="1022">
        <f t="shared" si="76"/>
        <v>170.79973842000877</v>
      </c>
      <c r="AL88" s="1022">
        <f t="shared" si="77"/>
        <v>170.79973842000877</v>
      </c>
      <c r="AM88" s="1023">
        <f t="shared" si="78"/>
        <v>0</v>
      </c>
      <c r="AN88" s="1022">
        <f t="shared" si="79"/>
        <v>10577.683531618253</v>
      </c>
      <c r="AO88" s="1022">
        <f t="shared" si="80"/>
        <v>533.57234193514978</v>
      </c>
      <c r="AP88" s="1024">
        <f t="shared" si="81"/>
        <v>355.71489462343317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355.71489462343317</v>
      </c>
      <c r="BD88" s="1081">
        <f>AZ88</f>
        <v>5.514377360864759</v>
      </c>
      <c r="BE88" s="1053">
        <f t="shared" si="60"/>
        <v>820.5169947820342</v>
      </c>
      <c r="BF88" s="1054">
        <v>0</v>
      </c>
      <c r="BG88" s="1074">
        <f t="shared" si="88"/>
        <v>820.5169947820342</v>
      </c>
      <c r="BI88" s="1052">
        <f t="shared" si="89"/>
        <v>459.28772279773631</v>
      </c>
      <c r="BJ88" s="1053">
        <f t="shared" si="90"/>
        <v>355.71489462343317</v>
      </c>
      <c r="BK88" s="1081">
        <f t="shared" si="91"/>
        <v>5.514377360864759</v>
      </c>
      <c r="BL88" s="1053">
        <f t="shared" si="61"/>
        <v>820.5169947820342</v>
      </c>
      <c r="BM88" s="1054">
        <v>0</v>
      </c>
      <c r="BN88" s="1074">
        <f t="shared" si="92"/>
        <v>820.5169947820342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7"/>
      <c r="X89" s="1025">
        <f>'Recycling - Case 1'!AM139</f>
        <v>768.67360562249996</v>
      </c>
      <c r="Y89" s="1026">
        <f>Parameters!S190</f>
        <v>0.71500000000000008</v>
      </c>
      <c r="Z89" s="1027">
        <f t="shared" si="68"/>
        <v>0.4</v>
      </c>
      <c r="AA89" s="1028">
        <f t="shared" si="69"/>
        <v>109.92032560401751</v>
      </c>
      <c r="AB89" s="1028">
        <f t="shared" si="70"/>
        <v>109.92032560401751</v>
      </c>
      <c r="AC89" s="1029">
        <f t="shared" si="71"/>
        <v>0</v>
      </c>
      <c r="AD89" s="1028">
        <f t="shared" si="72"/>
        <v>10171.72414393593</v>
      </c>
      <c r="AE89" s="1028">
        <f t="shared" si="73"/>
        <v>515.87971328634205</v>
      </c>
      <c r="AF89" s="1030">
        <f t="shared" si="74"/>
        <v>343.91980885756135</v>
      </c>
      <c r="AG89" s="99"/>
      <c r="AH89" s="1025">
        <f>'Recycling - Case 1'!AM179</f>
        <v>768.67360562249996</v>
      </c>
      <c r="AI89" s="1026">
        <f>Parameters!S190</f>
        <v>0.71500000000000008</v>
      </c>
      <c r="AJ89" s="1027">
        <f t="shared" si="75"/>
        <v>0.4</v>
      </c>
      <c r="AK89" s="1028">
        <f t="shared" si="76"/>
        <v>109.92032560401751</v>
      </c>
      <c r="AL89" s="1028">
        <f t="shared" si="77"/>
        <v>109.92032560401751</v>
      </c>
      <c r="AM89" s="1029">
        <f t="shared" si="78"/>
        <v>0</v>
      </c>
      <c r="AN89" s="1028">
        <f t="shared" si="79"/>
        <v>10171.72414393593</v>
      </c>
      <c r="AO89" s="1028">
        <f t="shared" si="80"/>
        <v>515.87971328634205</v>
      </c>
      <c r="AP89" s="1030">
        <f t="shared" si="81"/>
        <v>343.91980885756135</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343.91980885756135</v>
      </c>
      <c r="BD89" s="1082">
        <f t="shared" ref="BD89:BD120" si="101">AZ89</f>
        <v>5.6913897455556466</v>
      </c>
      <c r="BE89" s="1056">
        <f t="shared" si="60"/>
        <v>801.61949135232783</v>
      </c>
      <c r="BF89" s="167">
        <v>0</v>
      </c>
      <c r="BG89" s="1075">
        <f t="shared" si="88"/>
        <v>801.61949135232783</v>
      </c>
      <c r="BI89" s="1055">
        <f t="shared" si="89"/>
        <v>452.00829274921085</v>
      </c>
      <c r="BJ89" s="1056">
        <f t="shared" si="90"/>
        <v>343.91980885756135</v>
      </c>
      <c r="BK89" s="1082">
        <f t="shared" si="91"/>
        <v>5.6913897455556466</v>
      </c>
      <c r="BL89" s="1056">
        <f t="shared" si="61"/>
        <v>801.61949135232783</v>
      </c>
      <c r="BM89" s="167">
        <v>0</v>
      </c>
      <c r="BN89" s="1075">
        <f t="shared" si="92"/>
        <v>801.61949135232783</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7"/>
      <c r="X90" s="1025">
        <f>'Recycling - Case 1'!AM140</f>
        <v>733.57028410899761</v>
      </c>
      <c r="Y90" s="1026">
        <f>Parameters!S191</f>
        <v>0.71500000000000008</v>
      </c>
      <c r="Z90" s="1027">
        <f t="shared" si="68"/>
        <v>0.4</v>
      </c>
      <c r="AA90" s="1028">
        <f t="shared" si="69"/>
        <v>104.90055062758667</v>
      </c>
      <c r="AB90" s="1028">
        <f t="shared" si="70"/>
        <v>104.90055062758667</v>
      </c>
      <c r="AC90" s="1029">
        <f t="shared" si="71"/>
        <v>0</v>
      </c>
      <c r="AD90" s="1028">
        <f t="shared" si="72"/>
        <v>9780.5438542437787</v>
      </c>
      <c r="AE90" s="1028">
        <f t="shared" si="73"/>
        <v>496.08084031973732</v>
      </c>
      <c r="AF90" s="1030">
        <f t="shared" si="74"/>
        <v>330.72056021315819</v>
      </c>
      <c r="AG90" s="104"/>
      <c r="AH90" s="1025">
        <f>'Recycling - Case 1'!AM180</f>
        <v>733.57028410899761</v>
      </c>
      <c r="AI90" s="1026">
        <f>Parameters!S191</f>
        <v>0.71500000000000008</v>
      </c>
      <c r="AJ90" s="1027">
        <f t="shared" si="75"/>
        <v>0.4</v>
      </c>
      <c r="AK90" s="1028">
        <f t="shared" si="76"/>
        <v>104.90055062758667</v>
      </c>
      <c r="AL90" s="1028">
        <f t="shared" si="77"/>
        <v>104.90055062758667</v>
      </c>
      <c r="AM90" s="1029">
        <f t="shared" si="78"/>
        <v>0</v>
      </c>
      <c r="AN90" s="1028">
        <f t="shared" si="79"/>
        <v>9780.5438542437787</v>
      </c>
      <c r="AO90" s="1028">
        <f t="shared" si="80"/>
        <v>496.08084031973732</v>
      </c>
      <c r="AP90" s="1030">
        <f t="shared" si="81"/>
        <v>330.72056021315819</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330.72056021315819</v>
      </c>
      <c r="BD90" s="1082">
        <f t="shared" si="101"/>
        <v>5.8702293320812453</v>
      </c>
      <c r="BE90" s="1056">
        <f t="shared" si="60"/>
        <v>780.89298022480284</v>
      </c>
      <c r="BF90" s="167">
        <v>0</v>
      </c>
      <c r="BG90" s="1075">
        <f t="shared" si="88"/>
        <v>780.89298022480284</v>
      </c>
      <c r="BI90" s="1055">
        <f t="shared" si="89"/>
        <v>444.30219067956335</v>
      </c>
      <c r="BJ90" s="1056">
        <f t="shared" si="90"/>
        <v>330.72056021315819</v>
      </c>
      <c r="BK90" s="1082">
        <f t="shared" si="91"/>
        <v>5.8702293320812453</v>
      </c>
      <c r="BL90" s="1056">
        <f t="shared" si="61"/>
        <v>780.89298022480284</v>
      </c>
      <c r="BM90" s="167">
        <v>0</v>
      </c>
      <c r="BN90" s="1075">
        <f t="shared" si="92"/>
        <v>780.89298022480284</v>
      </c>
    </row>
    <row r="91" spans="1:66">
      <c r="A91" s="927">
        <f>'Input data'!A121</f>
        <v>2021</v>
      </c>
      <c r="B91" s="824">
        <f>'Input data'!B121</f>
        <v>59.991580449204264</v>
      </c>
      <c r="C91" s="824">
        <f>'Recycling - Case 1'!AK101/B91</f>
        <v>387.06124919664796</v>
      </c>
      <c r="D91" s="826">
        <f>'Recycling - Case 1'!AM101</f>
        <v>0.38774635057032381</v>
      </c>
      <c r="E91" s="826">
        <f>'Recycling - Case 1'!BE101</f>
        <v>0.21705315966083133</v>
      </c>
      <c r="F91" s="826">
        <f>'Recycling - Case 1'!BF101</f>
        <v>0.27528212727684037</v>
      </c>
      <c r="G91" s="826">
        <f>'Recycling - Case 1'!BG101</f>
        <v>6.5742471417509829E-2</v>
      </c>
      <c r="H91" s="826">
        <f>'Recycling - Case 1'!BH101</f>
        <v>0</v>
      </c>
      <c r="I91" s="826">
        <f>'Recycling - Case 1'!BI101</f>
        <v>0</v>
      </c>
      <c r="J91" s="826">
        <f>'Recycling - Case 1'!BJ101</f>
        <v>0</v>
      </c>
      <c r="K91" s="826">
        <f>'Recycling - Case 1'!BK101</f>
        <v>0.44192224164481869</v>
      </c>
      <c r="L91" s="827">
        <f t="shared" si="100"/>
        <v>1.0000000000000002</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832">
        <f t="shared" si="62"/>
        <v>395.65116142196723</v>
      </c>
      <c r="R91" s="832">
        <f t="shared" si="63"/>
        <v>395.65116142196723</v>
      </c>
      <c r="S91" s="835">
        <f t="shared" si="64"/>
        <v>0</v>
      </c>
      <c r="T91" s="832">
        <f t="shared" si="65"/>
        <v>13157.852549327221</v>
      </c>
      <c r="U91" s="832">
        <f t="shared" si="66"/>
        <v>654.33205732951797</v>
      </c>
      <c r="V91" s="839">
        <f t="shared" si="67"/>
        <v>436.22137155301198</v>
      </c>
      <c r="W91" s="1447"/>
      <c r="X91" s="1025">
        <f>'Recycling - Case 1'!AM141</f>
        <v>552.41326314950902</v>
      </c>
      <c r="Y91" s="1026">
        <f>Parameters!S192</f>
        <v>0.71500000000000008</v>
      </c>
      <c r="Z91" s="1027">
        <f t="shared" si="68"/>
        <v>0.4</v>
      </c>
      <c r="AA91" s="1028">
        <f t="shared" si="69"/>
        <v>78.995096630379805</v>
      </c>
      <c r="AB91" s="1028">
        <f t="shared" si="70"/>
        <v>78.995096630379805</v>
      </c>
      <c r="AC91" s="1029">
        <f t="shared" si="71"/>
        <v>0</v>
      </c>
      <c r="AD91" s="1028">
        <f t="shared" si="72"/>
        <v>9382.5361984066858</v>
      </c>
      <c r="AE91" s="1028">
        <f t="shared" si="73"/>
        <v>477.00275246747373</v>
      </c>
      <c r="AF91" s="1030">
        <f t="shared" si="74"/>
        <v>318.0018349783158</v>
      </c>
      <c r="AG91" s="104"/>
      <c r="AH91" s="1025">
        <f>'Recycling - Case 1'!AM181</f>
        <v>552.41326314950902</v>
      </c>
      <c r="AI91" s="1026">
        <f>Parameters!S192</f>
        <v>0.71500000000000008</v>
      </c>
      <c r="AJ91" s="1027">
        <f t="shared" si="75"/>
        <v>0.4</v>
      </c>
      <c r="AK91" s="1028">
        <f t="shared" si="76"/>
        <v>78.995096630379805</v>
      </c>
      <c r="AL91" s="1028">
        <f t="shared" si="77"/>
        <v>78.995096630379805</v>
      </c>
      <c r="AM91" s="1029">
        <f t="shared" si="78"/>
        <v>0</v>
      </c>
      <c r="AN91" s="1028">
        <f t="shared" si="79"/>
        <v>9382.5361984066858</v>
      </c>
      <c r="AO91" s="1028">
        <f t="shared" si="80"/>
        <v>477.00275246747373</v>
      </c>
      <c r="AP91" s="1030">
        <f t="shared" si="81"/>
        <v>318.0018349783158</v>
      </c>
      <c r="AQ91" s="104"/>
      <c r="AR91" s="1064">
        <f>'Recycling - Case 1'!G101</f>
        <v>549.0364074270924</v>
      </c>
      <c r="AS91" s="1065">
        <v>1</v>
      </c>
      <c r="AT91" s="1066">
        <f t="shared" si="82"/>
        <v>0.05</v>
      </c>
      <c r="AU91" s="1044">
        <f t="shared" si="83"/>
        <v>13.725910185677311</v>
      </c>
      <c r="AV91" s="1044">
        <f t="shared" si="84"/>
        <v>13.725910185677311</v>
      </c>
      <c r="AW91" s="1045">
        <f t="shared" si="85"/>
        <v>0</v>
      </c>
      <c r="AX91" s="1044">
        <f t="shared" si="51"/>
        <v>160.50929994217009</v>
      </c>
      <c r="AY91" s="1044">
        <f t="shared" si="54"/>
        <v>9.0765779127630246</v>
      </c>
      <c r="AZ91" s="1067">
        <f t="shared" si="52"/>
        <v>6.0510519418420161</v>
      </c>
      <c r="BB91" s="1055">
        <f t="shared" si="86"/>
        <v>436.22137155301198</v>
      </c>
      <c r="BC91" s="1056">
        <f t="shared" si="87"/>
        <v>318.0018349783158</v>
      </c>
      <c r="BD91" s="1082">
        <f t="shared" si="101"/>
        <v>6.0510519418420161</v>
      </c>
      <c r="BE91" s="1056">
        <f t="shared" si="60"/>
        <v>760.27425847316988</v>
      </c>
      <c r="BF91" s="167">
        <v>0</v>
      </c>
      <c r="BG91" s="1075">
        <f t="shared" si="88"/>
        <v>760.27425847316988</v>
      </c>
      <c r="BI91" s="1055">
        <f t="shared" si="89"/>
        <v>436.22137155301198</v>
      </c>
      <c r="BJ91" s="1056">
        <f t="shared" si="90"/>
        <v>318.0018349783158</v>
      </c>
      <c r="BK91" s="1082">
        <f t="shared" si="91"/>
        <v>6.0510519418420161</v>
      </c>
      <c r="BL91" s="1056">
        <f t="shared" si="61"/>
        <v>760.27425847316988</v>
      </c>
      <c r="BM91" s="167">
        <v>0</v>
      </c>
      <c r="BN91" s="1075">
        <f t="shared" si="92"/>
        <v>760.27425847316988</v>
      </c>
    </row>
    <row r="92" spans="1:66">
      <c r="A92" s="927">
        <f>'Input data'!A122</f>
        <v>2022</v>
      </c>
      <c r="B92" s="824">
        <f>'Input data'!B122</f>
        <v>60.682333816399378</v>
      </c>
      <c r="C92" s="824">
        <f>'Recycling - Case 1'!AK102/B92</f>
        <v>380.16515274375075</v>
      </c>
      <c r="D92" s="826">
        <f>'Recycling - Case 1'!AM102</f>
        <v>0.37002151937867211</v>
      </c>
      <c r="E92" s="826">
        <f>'Recycling - Case 1'!BE102</f>
        <v>0.21085401693981362</v>
      </c>
      <c r="F92" s="826">
        <f>'Recycling - Case 1'!BF102</f>
        <v>0.26741993721150753</v>
      </c>
      <c r="G92" s="826">
        <f>'Recycling - Case 1'!BG102</f>
        <v>6.7563410996355919E-2</v>
      </c>
      <c r="H92" s="826">
        <f>'Recycling - Case 1'!BH102</f>
        <v>0</v>
      </c>
      <c r="I92" s="826">
        <f>'Recycling - Case 1'!BI102</f>
        <v>0</v>
      </c>
      <c r="J92" s="826">
        <f>'Recycling - Case 1'!BJ102</f>
        <v>0</v>
      </c>
      <c r="K92" s="826">
        <f>'Recycling - Case 1'!BK102</f>
        <v>0.45416263485232289</v>
      </c>
      <c r="L92" s="827">
        <f t="shared" si="100"/>
        <v>0.99999999999999989</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832">
        <f t="shared" si="62"/>
        <v>374.23662749316668</v>
      </c>
      <c r="R92" s="832">
        <f t="shared" si="63"/>
        <v>374.23662749316668</v>
      </c>
      <c r="S92" s="835">
        <f t="shared" si="64"/>
        <v>0</v>
      </c>
      <c r="T92" s="832">
        <f t="shared" si="65"/>
        <v>12890.373135654952</v>
      </c>
      <c r="U92" s="832">
        <f t="shared" si="66"/>
        <v>641.71604116543574</v>
      </c>
      <c r="V92" s="839">
        <f t="shared" si="67"/>
        <v>427.81069411029051</v>
      </c>
      <c r="W92" s="1447"/>
      <c r="X92" s="1025">
        <f>'Recycling - Case 1'!AM142</f>
        <v>404.05969616489688</v>
      </c>
      <c r="Y92" s="1026">
        <f>Parameters!S193</f>
        <v>0.71500000000000008</v>
      </c>
      <c r="Z92" s="1027">
        <f t="shared" si="68"/>
        <v>0.4</v>
      </c>
      <c r="AA92" s="1028">
        <f t="shared" si="69"/>
        <v>57.780536551580269</v>
      </c>
      <c r="AB92" s="1028">
        <f t="shared" si="70"/>
        <v>57.780536551580269</v>
      </c>
      <c r="AC92" s="1029">
        <f t="shared" si="71"/>
        <v>0</v>
      </c>
      <c r="AD92" s="1028">
        <f t="shared" si="72"/>
        <v>8982.7250449190888</v>
      </c>
      <c r="AE92" s="1028">
        <f t="shared" si="73"/>
        <v>457.59169003917697</v>
      </c>
      <c r="AF92" s="1030">
        <f t="shared" si="74"/>
        <v>305.06112669278463</v>
      </c>
      <c r="AG92" s="104"/>
      <c r="AH92" s="1025">
        <f>'Recycling - Case 1'!AM182</f>
        <v>404.05969616489688</v>
      </c>
      <c r="AI92" s="1026">
        <f>Parameters!S193</f>
        <v>0.71500000000000008</v>
      </c>
      <c r="AJ92" s="1027">
        <f t="shared" si="75"/>
        <v>0.4</v>
      </c>
      <c r="AK92" s="1028">
        <f t="shared" si="76"/>
        <v>57.780536551580269</v>
      </c>
      <c r="AL92" s="1028">
        <f t="shared" si="77"/>
        <v>57.780536551580269</v>
      </c>
      <c r="AM92" s="1029">
        <f t="shared" si="78"/>
        <v>0</v>
      </c>
      <c r="AN92" s="1028">
        <f t="shared" si="79"/>
        <v>8982.7250449190888</v>
      </c>
      <c r="AO92" s="1028">
        <f t="shared" si="80"/>
        <v>457.59169003917697</v>
      </c>
      <c r="AP92" s="1030">
        <f t="shared" si="81"/>
        <v>305.06112669278463</v>
      </c>
      <c r="AQ92" s="104"/>
      <c r="AR92" s="1064">
        <f>'Recycling - Case 1'!G102</f>
        <v>559.72841293499425</v>
      </c>
      <c r="AS92" s="1065">
        <v>1</v>
      </c>
      <c r="AT92" s="1066">
        <f t="shared" si="82"/>
        <v>0.05</v>
      </c>
      <c r="AU92" s="1044">
        <f t="shared" si="83"/>
        <v>13.993210323374857</v>
      </c>
      <c r="AV92" s="1044">
        <f t="shared" si="84"/>
        <v>13.993210323374857</v>
      </c>
      <c r="AW92" s="1045">
        <f t="shared" si="85"/>
        <v>0</v>
      </c>
      <c r="AX92" s="1044">
        <f t="shared" si="51"/>
        <v>165.15517631934694</v>
      </c>
      <c r="AY92" s="1044">
        <f t="shared" si="54"/>
        <v>9.3473339461979954</v>
      </c>
      <c r="AZ92" s="1067">
        <f t="shared" si="52"/>
        <v>6.2315559641319966</v>
      </c>
      <c r="BB92" s="1055">
        <f t="shared" si="86"/>
        <v>427.81069411029051</v>
      </c>
      <c r="BC92" s="1056">
        <f t="shared" si="87"/>
        <v>305.06112669278463</v>
      </c>
      <c r="BD92" s="1082">
        <f t="shared" si="101"/>
        <v>6.2315559641319966</v>
      </c>
      <c r="BE92" s="1056">
        <f t="shared" si="60"/>
        <v>739.10337676720712</v>
      </c>
      <c r="BF92" s="167">
        <v>0</v>
      </c>
      <c r="BG92" s="1075">
        <f t="shared" si="88"/>
        <v>739.10337676720712</v>
      </c>
      <c r="BI92" s="1055">
        <f t="shared" si="89"/>
        <v>427.81069411029051</v>
      </c>
      <c r="BJ92" s="1056">
        <f t="shared" si="90"/>
        <v>305.06112669278463</v>
      </c>
      <c r="BK92" s="1082">
        <f t="shared" si="91"/>
        <v>6.2315559641319966</v>
      </c>
      <c r="BL92" s="1056">
        <f t="shared" si="61"/>
        <v>739.10337676720712</v>
      </c>
      <c r="BM92" s="167">
        <v>0</v>
      </c>
      <c r="BN92" s="1075">
        <f t="shared" si="92"/>
        <v>739.10337676720712</v>
      </c>
    </row>
    <row r="93" spans="1:66">
      <c r="A93" s="927">
        <f>'Input data'!A123</f>
        <v>2023</v>
      </c>
      <c r="B93" s="824">
        <f>'Input data'!B123</f>
        <v>61.381040636574369</v>
      </c>
      <c r="C93" s="824">
        <f>'Recycling - Case 1'!AK103/B93</f>
        <v>373.81875656843408</v>
      </c>
      <c r="D93" s="826">
        <f>'Recycling - Case 1'!AM103</f>
        <v>0.35270374709687796</v>
      </c>
      <c r="E93" s="826">
        <f>'Recycling - Case 1'!BE103</f>
        <v>0.20445870352753015</v>
      </c>
      <c r="F93" s="826">
        <f>'Recycling - Case 1'!BF103</f>
        <v>0.25930894963829509</v>
      </c>
      <c r="G93" s="826">
        <f>'Recycling - Case 1'!BG103</f>
        <v>6.9441973861519388E-2</v>
      </c>
      <c r="H93" s="826">
        <f>'Recycling - Case 1'!BH103</f>
        <v>0</v>
      </c>
      <c r="I93" s="826">
        <f>'Recycling - Case 1'!BI103</f>
        <v>0</v>
      </c>
      <c r="J93" s="826">
        <f>'Recycling - Case 1'!BJ103</f>
        <v>0</v>
      </c>
      <c r="K93" s="826">
        <f>'Recycling - Case 1'!BK103</f>
        <v>0.46679037297265541</v>
      </c>
      <c r="L93" s="827">
        <f t="shared" si="100"/>
        <v>1</v>
      </c>
      <c r="M93" s="104"/>
      <c r="N93" s="838">
        <f t="shared" si="57"/>
        <v>8092.9230168287222</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832">
        <f t="shared" si="62"/>
        <v>353.65017317465652</v>
      </c>
      <c r="R93" s="832">
        <f t="shared" si="63"/>
        <v>353.65017317465652</v>
      </c>
      <c r="S93" s="835">
        <f t="shared" si="64"/>
        <v>0</v>
      </c>
      <c r="T93" s="832">
        <f t="shared" si="65"/>
        <v>12615.352392603181</v>
      </c>
      <c r="U93" s="832">
        <f t="shared" si="66"/>
        <v>628.67091622642772</v>
      </c>
      <c r="V93" s="839">
        <f t="shared" si="67"/>
        <v>419.1139441509518</v>
      </c>
      <c r="W93" s="1447"/>
      <c r="X93" s="1025">
        <f>'Recycling - Case 1'!AM143</f>
        <v>296.1721199198405</v>
      </c>
      <c r="Y93" s="1026">
        <f>Parameters!S194</f>
        <v>0.71500000000000008</v>
      </c>
      <c r="Z93" s="1027">
        <f t="shared" si="68"/>
        <v>0.4</v>
      </c>
      <c r="AA93" s="1028">
        <f t="shared" si="69"/>
        <v>42.352613148537195</v>
      </c>
      <c r="AB93" s="1028">
        <f t="shared" si="70"/>
        <v>42.352613148537195</v>
      </c>
      <c r="AC93" s="1029">
        <f t="shared" si="71"/>
        <v>0</v>
      </c>
      <c r="AD93" s="1028">
        <f t="shared" si="72"/>
        <v>8586.9849880750735</v>
      </c>
      <c r="AE93" s="1028">
        <f t="shared" si="73"/>
        <v>438.09266999255351</v>
      </c>
      <c r="AF93" s="1030">
        <f t="shared" si="74"/>
        <v>292.06177999503569</v>
      </c>
      <c r="AG93" s="104"/>
      <c r="AH93" s="1025">
        <f>'Recycling - Case 1'!AM183</f>
        <v>296.1721199198405</v>
      </c>
      <c r="AI93" s="1026">
        <f>Parameters!S194</f>
        <v>0.71500000000000008</v>
      </c>
      <c r="AJ93" s="1027">
        <f t="shared" si="75"/>
        <v>0.4</v>
      </c>
      <c r="AK93" s="1028">
        <f t="shared" si="76"/>
        <v>42.352613148537195</v>
      </c>
      <c r="AL93" s="1028">
        <f t="shared" si="77"/>
        <v>42.352613148537195</v>
      </c>
      <c r="AM93" s="1029">
        <f t="shared" si="78"/>
        <v>0</v>
      </c>
      <c r="AN93" s="1028">
        <f t="shared" si="79"/>
        <v>8586.9849880750735</v>
      </c>
      <c r="AO93" s="1028">
        <f t="shared" si="80"/>
        <v>438.09266999255351</v>
      </c>
      <c r="AP93" s="1030">
        <f t="shared" si="81"/>
        <v>292.06177999503569</v>
      </c>
      <c r="AQ93" s="104"/>
      <c r="AR93" s="1064">
        <f>'Recycling - Case 1'!G103</f>
        <v>570.59384848565696</v>
      </c>
      <c r="AS93" s="1065">
        <v>1</v>
      </c>
      <c r="AT93" s="1066">
        <f t="shared" si="82"/>
        <v>0.05</v>
      </c>
      <c r="AU93" s="1044">
        <f t="shared" si="83"/>
        <v>14.264846212141425</v>
      </c>
      <c r="AV93" s="1044">
        <f t="shared" si="84"/>
        <v>14.264846212141425</v>
      </c>
      <c r="AW93" s="1045">
        <f t="shared" si="85"/>
        <v>0</v>
      </c>
      <c r="AX93" s="1044">
        <f t="shared" si="51"/>
        <v>169.80213380755555</v>
      </c>
      <c r="AY93" s="1044">
        <f t="shared" si="54"/>
        <v>9.6178887239328095</v>
      </c>
      <c r="AZ93" s="1067">
        <f t="shared" si="52"/>
        <v>6.4119258159552066</v>
      </c>
      <c r="BB93" s="1055">
        <f t="shared" si="86"/>
        <v>419.1139441509518</v>
      </c>
      <c r="BC93" s="1056">
        <f t="shared" si="87"/>
        <v>292.06177999503569</v>
      </c>
      <c r="BD93" s="1082">
        <f t="shared" si="101"/>
        <v>6.4119258159552066</v>
      </c>
      <c r="BE93" s="1056">
        <f t="shared" si="60"/>
        <v>717.5876499619427</v>
      </c>
      <c r="BF93" s="167">
        <v>0</v>
      </c>
      <c r="BG93" s="1075">
        <f t="shared" si="88"/>
        <v>717.5876499619427</v>
      </c>
      <c r="BI93" s="1055">
        <f t="shared" si="89"/>
        <v>419.1139441509518</v>
      </c>
      <c r="BJ93" s="1056">
        <f t="shared" si="90"/>
        <v>292.06177999503569</v>
      </c>
      <c r="BK93" s="1082">
        <f t="shared" si="91"/>
        <v>6.4119258159552066</v>
      </c>
      <c r="BL93" s="1056">
        <f t="shared" si="61"/>
        <v>717.5876499619427</v>
      </c>
      <c r="BM93" s="167">
        <v>0</v>
      </c>
      <c r="BN93" s="1075">
        <f t="shared" si="92"/>
        <v>717.5876499619427</v>
      </c>
    </row>
    <row r="94" spans="1:66">
      <c r="A94" s="927">
        <f>'Input data'!A124</f>
        <v>2024</v>
      </c>
      <c r="B94" s="824">
        <f>'Input data'!B124</f>
        <v>62.087792487153699</v>
      </c>
      <c r="C94" s="824">
        <f>'Recycling - Case 1'!AK104/B94</f>
        <v>367.98420446405902</v>
      </c>
      <c r="D94" s="826">
        <f>'Recycling - Case 1'!AM104</f>
        <v>0.33582564658939912</v>
      </c>
      <c r="E94" s="826">
        <f>'Recycling - Case 1'!BE104</f>
        <v>0.19786063663408232</v>
      </c>
      <c r="F94" s="826">
        <f>'Recycling - Case 1'!BF104</f>
        <v>0.25094081579872596</v>
      </c>
      <c r="G94" s="826">
        <f>'Recycling - Case 1'!BG104</f>
        <v>7.1380093645311199E-2</v>
      </c>
      <c r="H94" s="826">
        <f>'Recycling - Case 1'!BH104</f>
        <v>0</v>
      </c>
      <c r="I94" s="826">
        <f>'Recycling - Case 1'!BI104</f>
        <v>0</v>
      </c>
      <c r="J94" s="826">
        <f>'Recycling - Case 1'!BJ104</f>
        <v>0</v>
      </c>
      <c r="K94" s="826">
        <f>'Recycling - Case 1'!BK104</f>
        <v>0.47981845392188066</v>
      </c>
      <c r="L94" s="827">
        <f t="shared" si="100"/>
        <v>1.0000000000000002</v>
      </c>
      <c r="M94" s="104"/>
      <c r="N94" s="838">
        <f t="shared" si="57"/>
        <v>7672.7183375332424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832">
        <f t="shared" si="62"/>
        <v>333.86811454256326</v>
      </c>
      <c r="R94" s="832">
        <f t="shared" si="63"/>
        <v>333.86811454256326</v>
      </c>
      <c r="S94" s="835">
        <f t="shared" si="64"/>
        <v>0</v>
      </c>
      <c r="T94" s="832">
        <f t="shared" si="65"/>
        <v>12333.962510832192</v>
      </c>
      <c r="U94" s="832">
        <f t="shared" si="66"/>
        <v>615.25799631355153</v>
      </c>
      <c r="V94" s="839">
        <f t="shared" si="67"/>
        <v>410.17199754236771</v>
      </c>
      <c r="W94" s="1447"/>
      <c r="X94" s="1025">
        <f>'Recycling - Case 1'!AM144</f>
        <v>162.07018989534944</v>
      </c>
      <c r="Y94" s="1026">
        <f>Parameters!S195</f>
        <v>0.71500000000000008</v>
      </c>
      <c r="Z94" s="1027">
        <f t="shared" si="68"/>
        <v>0.4</v>
      </c>
      <c r="AA94" s="1028">
        <f t="shared" si="69"/>
        <v>23.176037155034972</v>
      </c>
      <c r="AB94" s="1028">
        <f t="shared" si="70"/>
        <v>23.176037155034972</v>
      </c>
      <c r="AC94" s="1029">
        <f t="shared" si="71"/>
        <v>0</v>
      </c>
      <c r="AD94" s="1028">
        <f t="shared" si="72"/>
        <v>8191.3688255579582</v>
      </c>
      <c r="AE94" s="1028">
        <f t="shared" si="73"/>
        <v>418.79219967215073</v>
      </c>
      <c r="AF94" s="1030">
        <f t="shared" si="74"/>
        <v>279.1947997814338</v>
      </c>
      <c r="AG94" s="104"/>
      <c r="AH94" s="1025">
        <f>'Recycling - Case 1'!AM184</f>
        <v>162.07018989534944</v>
      </c>
      <c r="AI94" s="1026">
        <f>Parameters!S195</f>
        <v>0.71500000000000008</v>
      </c>
      <c r="AJ94" s="1027">
        <f t="shared" si="75"/>
        <v>0.4</v>
      </c>
      <c r="AK94" s="1028">
        <f t="shared" si="76"/>
        <v>23.176037155034972</v>
      </c>
      <c r="AL94" s="1028">
        <f t="shared" si="77"/>
        <v>23.176037155034972</v>
      </c>
      <c r="AM94" s="1029">
        <f t="shared" si="78"/>
        <v>0</v>
      </c>
      <c r="AN94" s="1028">
        <f t="shared" si="79"/>
        <v>8191.3688255579582</v>
      </c>
      <c r="AO94" s="1028">
        <f t="shared" si="80"/>
        <v>418.79219967215073</v>
      </c>
      <c r="AP94" s="1030">
        <f t="shared" si="81"/>
        <v>279.1947997814338</v>
      </c>
      <c r="AQ94" s="104"/>
      <c r="AR94" s="1064">
        <f>'Recycling - Case 1'!G104</f>
        <v>581.63529038075126</v>
      </c>
      <c r="AS94" s="1065">
        <v>1</v>
      </c>
      <c r="AT94" s="1066">
        <f t="shared" si="82"/>
        <v>0.05</v>
      </c>
      <c r="AU94" s="1044">
        <f t="shared" si="83"/>
        <v>14.540882259518781</v>
      </c>
      <c r="AV94" s="1044">
        <f t="shared" si="84"/>
        <v>14.540882259518781</v>
      </c>
      <c r="AW94" s="1045">
        <f t="shared" si="85"/>
        <v>0</v>
      </c>
      <c r="AX94" s="1044">
        <f t="shared" si="51"/>
        <v>174.45450960640153</v>
      </c>
      <c r="AY94" s="1044">
        <f t="shared" si="54"/>
        <v>9.8885064606728061</v>
      </c>
      <c r="AZ94" s="1067">
        <f t="shared" si="52"/>
        <v>6.5923376404485374</v>
      </c>
      <c r="BB94" s="1055">
        <f t="shared" si="86"/>
        <v>410.17199754236771</v>
      </c>
      <c r="BC94" s="1056">
        <f t="shared" si="87"/>
        <v>279.1947997814338</v>
      </c>
      <c r="BD94" s="1082">
        <f t="shared" si="101"/>
        <v>6.5923376404485374</v>
      </c>
      <c r="BE94" s="1056">
        <f t="shared" si="60"/>
        <v>695.9591349642501</v>
      </c>
      <c r="BF94" s="167">
        <v>0</v>
      </c>
      <c r="BG94" s="1075">
        <f t="shared" si="88"/>
        <v>695.9591349642501</v>
      </c>
      <c r="BI94" s="1055">
        <f t="shared" si="89"/>
        <v>410.17199754236771</v>
      </c>
      <c r="BJ94" s="1056">
        <f t="shared" si="90"/>
        <v>279.1947997814338</v>
      </c>
      <c r="BK94" s="1082">
        <f t="shared" si="91"/>
        <v>6.5923376404485374</v>
      </c>
      <c r="BL94" s="1056">
        <f t="shared" si="61"/>
        <v>695.9591349642501</v>
      </c>
      <c r="BM94" s="167">
        <v>0</v>
      </c>
      <c r="BN94" s="1075">
        <f t="shared" si="92"/>
        <v>695.9591349642501</v>
      </c>
    </row>
    <row r="95" spans="1:66">
      <c r="A95" s="927">
        <f>'Input data'!A125</f>
        <v>2025</v>
      </c>
      <c r="B95" s="824">
        <f>'Input data'!B125</f>
        <v>62.802682000000026</v>
      </c>
      <c r="C95" s="824">
        <f>'Recycling - Case 1'!AK105/B95</f>
        <v>362.62604818704528</v>
      </c>
      <c r="D95" s="826">
        <f>'Recycling - Case 1'!AM105</f>
        <v>0.31941544655678239</v>
      </c>
      <c r="E95" s="826">
        <f>'Recycling - Case 1'!BE105</f>
        <v>0.19105303960501019</v>
      </c>
      <c r="F95" s="826">
        <f>'Recycling - Case 1'!BF105</f>
        <v>0.24230694106161171</v>
      </c>
      <c r="G95" s="826">
        <f>'Recycling - Case 1'!BG105</f>
        <v>7.33797609259247E-2</v>
      </c>
      <c r="H95" s="826">
        <f>'Recycling - Case 1'!BH105</f>
        <v>0</v>
      </c>
      <c r="I95" s="826">
        <f>'Recycling - Case 1'!BI105</f>
        <v>0</v>
      </c>
      <c r="J95" s="826">
        <f>'Recycling - Case 1'!BJ105</f>
        <v>0</v>
      </c>
      <c r="K95" s="826">
        <f>'Recycling - Case 1'!BK105</f>
        <v>0.49326025840745336</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832">
        <f t="shared" si="62"/>
        <v>314.86695798985409</v>
      </c>
      <c r="R95" s="832">
        <f t="shared" si="63"/>
        <v>314.86695798985409</v>
      </c>
      <c r="S95" s="835">
        <f t="shared" si="64"/>
        <v>0</v>
      </c>
      <c r="T95" s="832">
        <f t="shared" si="65"/>
        <v>12047.295018982142</v>
      </c>
      <c r="U95" s="832">
        <f t="shared" si="66"/>
        <v>601.53444983990437</v>
      </c>
      <c r="V95" s="839">
        <f t="shared" si="67"/>
        <v>401.02296655993626</v>
      </c>
      <c r="W95" s="1447"/>
      <c r="X95" s="1025">
        <f>'Recycling - Case 1'!AM145</f>
        <v>37.458406783171085</v>
      </c>
      <c r="Y95" s="1026">
        <f>Parameters!S196</f>
        <v>0.71500000000000008</v>
      </c>
      <c r="Z95" s="1027">
        <f t="shared" si="68"/>
        <v>0.4</v>
      </c>
      <c r="AA95" s="1028">
        <f t="shared" si="69"/>
        <v>5.3565521699934662</v>
      </c>
      <c r="AB95" s="1028">
        <f t="shared" si="70"/>
        <v>5.3565521699934662</v>
      </c>
      <c r="AC95" s="1029">
        <f t="shared" si="71"/>
        <v>0</v>
      </c>
      <c r="AD95" s="1028">
        <f t="shared" si="72"/>
        <v>7797.22760597858</v>
      </c>
      <c r="AE95" s="1028">
        <f t="shared" si="73"/>
        <v>399.49777174937196</v>
      </c>
      <c r="AF95" s="1030">
        <f t="shared" si="74"/>
        <v>266.33184783291466</v>
      </c>
      <c r="AG95" s="104"/>
      <c r="AH95" s="1025">
        <f>'Recycling - Case 1'!AM185</f>
        <v>37.458406783171085</v>
      </c>
      <c r="AI95" s="1026">
        <f>Parameters!S196</f>
        <v>0.71500000000000008</v>
      </c>
      <c r="AJ95" s="1027">
        <f t="shared" si="75"/>
        <v>0.4</v>
      </c>
      <c r="AK95" s="1028">
        <f t="shared" si="76"/>
        <v>5.3565521699934662</v>
      </c>
      <c r="AL95" s="1028">
        <f t="shared" si="77"/>
        <v>5.3565521699934662</v>
      </c>
      <c r="AM95" s="1029">
        <f t="shared" si="78"/>
        <v>0</v>
      </c>
      <c r="AN95" s="1028">
        <f t="shared" si="79"/>
        <v>7797.22760597858</v>
      </c>
      <c r="AO95" s="1028">
        <f t="shared" si="80"/>
        <v>399.49777174937196</v>
      </c>
      <c r="AP95" s="1030">
        <f t="shared" si="81"/>
        <v>266.33184783291466</v>
      </c>
      <c r="AQ95" s="104"/>
      <c r="AR95" s="1064">
        <f>'Recycling - Case 1'!G105</f>
        <v>592.85535125722038</v>
      </c>
      <c r="AS95" s="1065">
        <v>1</v>
      </c>
      <c r="AT95" s="1066">
        <f t="shared" si="82"/>
        <v>0.05</v>
      </c>
      <c r="AU95" s="1044">
        <f t="shared" si="83"/>
        <v>14.82138378143051</v>
      </c>
      <c r="AV95" s="1044">
        <f t="shared" si="84"/>
        <v>14.82138378143051</v>
      </c>
      <c r="AW95" s="1045">
        <f t="shared" si="85"/>
        <v>0</v>
      </c>
      <c r="AX95" s="1044">
        <f t="shared" si="51"/>
        <v>179.11645365257209</v>
      </c>
      <c r="AY95" s="1044">
        <f t="shared" si="54"/>
        <v>10.159439735259955</v>
      </c>
      <c r="AZ95" s="1067">
        <f t="shared" si="52"/>
        <v>6.7729598235066364</v>
      </c>
      <c r="BB95" s="1055">
        <f t="shared" si="86"/>
        <v>401.02296655993626</v>
      </c>
      <c r="BC95" s="1056">
        <f t="shared" si="87"/>
        <v>266.33184783291466</v>
      </c>
      <c r="BD95" s="1082">
        <f t="shared" si="101"/>
        <v>6.7729598235066364</v>
      </c>
      <c r="BE95" s="1056">
        <f t="shared" si="60"/>
        <v>674.12777421635758</v>
      </c>
      <c r="BF95" s="167">
        <v>0</v>
      </c>
      <c r="BG95" s="1075">
        <f t="shared" si="88"/>
        <v>674.12777421635758</v>
      </c>
      <c r="BI95" s="1055">
        <f t="shared" si="89"/>
        <v>401.02296655993626</v>
      </c>
      <c r="BJ95" s="1056">
        <f t="shared" si="90"/>
        <v>266.33184783291466</v>
      </c>
      <c r="BK95" s="1082">
        <f t="shared" si="91"/>
        <v>6.7729598235066364</v>
      </c>
      <c r="BL95" s="1056">
        <f t="shared" si="61"/>
        <v>674.12777421635758</v>
      </c>
      <c r="BM95" s="167">
        <v>0</v>
      </c>
      <c r="BN95" s="1075">
        <f t="shared" si="92"/>
        <v>674.12777421635758</v>
      </c>
    </row>
    <row r="96" spans="1:66">
      <c r="A96" s="927">
        <f>'Input data'!A126</f>
        <v>2026</v>
      </c>
      <c r="B96" s="824">
        <f>'Input data'!B126</f>
        <v>63.421065342005143</v>
      </c>
      <c r="C96" s="824">
        <f>'Recycling - Case 1'!AK106/B96</f>
        <v>358.12652247335149</v>
      </c>
      <c r="D96" s="826">
        <f>'Recycling - Case 1'!AM106</f>
        <v>0.30364555649113156</v>
      </c>
      <c r="E96" s="826">
        <f>'Recycling - Case 1'!BE106</f>
        <v>0.18391066082284532</v>
      </c>
      <c r="F96" s="826">
        <f>'Recycling - Case 1'!BF106</f>
        <v>0.23324847249085384</v>
      </c>
      <c r="G96" s="826">
        <f>'Recycling - Case 1'!BG106</f>
        <v>7.5477767182089692E-2</v>
      </c>
      <c r="H96" s="826">
        <f>'Recycling - Case 1'!BH106</f>
        <v>0</v>
      </c>
      <c r="I96" s="826">
        <f>'Recycling - Case 1'!BI106</f>
        <v>0</v>
      </c>
      <c r="J96" s="826">
        <f>'Recycling - Case 1'!BJ106</f>
        <v>0</v>
      </c>
      <c r="K96" s="826">
        <f>'Recycling - Case 1'!BK106</f>
        <v>0.5073630995042111</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832">
        <f t="shared" si="62"/>
        <v>296.52733853754046</v>
      </c>
      <c r="R96" s="832">
        <f t="shared" si="63"/>
        <v>296.52733853754046</v>
      </c>
      <c r="S96" s="835">
        <f t="shared" si="64"/>
        <v>0</v>
      </c>
      <c r="T96" s="832">
        <f t="shared" si="65"/>
        <v>11756.268846234241</v>
      </c>
      <c r="U96" s="832">
        <f t="shared" si="66"/>
        <v>587.55351128544055</v>
      </c>
      <c r="V96" s="839">
        <f t="shared" si="67"/>
        <v>391.70234085696035</v>
      </c>
      <c r="W96" s="1447"/>
      <c r="X96" s="1025">
        <f>'Recycling - Case 1'!AM146</f>
        <v>27.431182345879979</v>
      </c>
      <c r="Y96" s="1026">
        <f>Parameters!S197</f>
        <v>0.71500000000000008</v>
      </c>
      <c r="Z96" s="1027">
        <f t="shared" si="68"/>
        <v>0.4</v>
      </c>
      <c r="AA96" s="1028">
        <f t="shared" si="69"/>
        <v>3.9226590754608375</v>
      </c>
      <c r="AB96" s="1028">
        <f t="shared" si="70"/>
        <v>3.9226590754608375</v>
      </c>
      <c r="AC96" s="1029">
        <f t="shared" si="71"/>
        <v>0</v>
      </c>
      <c r="AD96" s="1028">
        <f t="shared" si="72"/>
        <v>7420.8749874115456</v>
      </c>
      <c r="AE96" s="1028">
        <f t="shared" si="73"/>
        <v>380.27527764249527</v>
      </c>
      <c r="AF96" s="1030">
        <f t="shared" si="74"/>
        <v>253.5168517616635</v>
      </c>
      <c r="AG96" s="104"/>
      <c r="AH96" s="1025">
        <f>'Recycling - Case 1'!AM186</f>
        <v>27.431182345879979</v>
      </c>
      <c r="AI96" s="1026">
        <f>Parameters!S197</f>
        <v>0.71500000000000008</v>
      </c>
      <c r="AJ96" s="1027">
        <f t="shared" si="75"/>
        <v>0.4</v>
      </c>
      <c r="AK96" s="1028">
        <f t="shared" si="76"/>
        <v>3.9226590754608375</v>
      </c>
      <c r="AL96" s="1028">
        <f t="shared" si="77"/>
        <v>3.9226590754608375</v>
      </c>
      <c r="AM96" s="1029">
        <f t="shared" si="78"/>
        <v>0</v>
      </c>
      <c r="AN96" s="1028">
        <f t="shared" si="79"/>
        <v>7420.8749874115456</v>
      </c>
      <c r="AO96" s="1028">
        <f t="shared" si="80"/>
        <v>380.27527764249527</v>
      </c>
      <c r="AP96" s="1030">
        <f t="shared" si="81"/>
        <v>253.5168517616635</v>
      </c>
      <c r="AQ96" s="104"/>
      <c r="AR96" s="1064">
        <f>'Recycling - Case 1'!G106</f>
        <v>603.26041842938696</v>
      </c>
      <c r="AS96" s="1065">
        <v>1</v>
      </c>
      <c r="AT96" s="1066">
        <f t="shared" si="82"/>
        <v>0.05</v>
      </c>
      <c r="AU96" s="1044">
        <f t="shared" si="83"/>
        <v>15.081510460734675</v>
      </c>
      <c r="AV96" s="1044">
        <f t="shared" si="84"/>
        <v>15.081510460734675</v>
      </c>
      <c r="AW96" s="1045">
        <f t="shared" si="85"/>
        <v>0</v>
      </c>
      <c r="AX96" s="1044">
        <f t="shared" si="51"/>
        <v>183.76703389211394</v>
      </c>
      <c r="AY96" s="1044">
        <f t="shared" si="54"/>
        <v>10.430930221192833</v>
      </c>
      <c r="AZ96" s="1067">
        <f t="shared" si="52"/>
        <v>6.9539534807952217</v>
      </c>
      <c r="BB96" s="1055">
        <f t="shared" si="86"/>
        <v>391.70234085696035</v>
      </c>
      <c r="BC96" s="1056">
        <f t="shared" si="87"/>
        <v>253.5168517616635</v>
      </c>
      <c r="BD96" s="1082">
        <f t="shared" si="101"/>
        <v>6.9539534807952217</v>
      </c>
      <c r="BE96" s="1056">
        <f t="shared" si="60"/>
        <v>652.17314609941911</v>
      </c>
      <c r="BF96" s="167">
        <v>0</v>
      </c>
      <c r="BG96" s="1075">
        <f t="shared" si="88"/>
        <v>652.17314609941911</v>
      </c>
      <c r="BI96" s="1055">
        <f t="shared" si="89"/>
        <v>391.70234085696035</v>
      </c>
      <c r="BJ96" s="1056">
        <f t="shared" si="90"/>
        <v>253.5168517616635</v>
      </c>
      <c r="BK96" s="1082">
        <f t="shared" si="91"/>
        <v>6.9539534807952217</v>
      </c>
      <c r="BL96" s="1056">
        <f t="shared" si="61"/>
        <v>652.17314609941911</v>
      </c>
      <c r="BM96" s="167">
        <v>0</v>
      </c>
      <c r="BN96" s="1075">
        <f t="shared" si="92"/>
        <v>652.17314609941911</v>
      </c>
    </row>
    <row r="97" spans="1:66">
      <c r="A97" s="927">
        <f>'Input data'!A127</f>
        <v>2027</v>
      </c>
      <c r="B97" s="824">
        <f>'Input data'!B127</f>
        <v>64.045537563425796</v>
      </c>
      <c r="C97" s="824">
        <f>'Recycling - Case 1'!AK107/B97</f>
        <v>354.0279761281858</v>
      </c>
      <c r="D97" s="826">
        <f>'Recycling - Case 1'!AM107</f>
        <v>0.28837282873747871</v>
      </c>
      <c r="E97" s="826">
        <f>'Recycling - Case 1'!BE107</f>
        <v>0.17650606330581883</v>
      </c>
      <c r="F97" s="826">
        <f>'Recycling - Case 1'!BF107</f>
        <v>0.22385743962452295</v>
      </c>
      <c r="G97" s="826">
        <f>'Recycling - Case 1'!BG107</f>
        <v>7.7652797713079855E-2</v>
      </c>
      <c r="H97" s="826">
        <f>'Recycling - Case 1'!BH107</f>
        <v>0</v>
      </c>
      <c r="I97" s="826">
        <f>'Recycling - Case 1'!BI107</f>
        <v>0</v>
      </c>
      <c r="J97" s="826">
        <f>'Recycling - Case 1'!BJ107</f>
        <v>0</v>
      </c>
      <c r="K97" s="826">
        <f>'Recycling - Case 1'!BK107</f>
        <v>0.52198369935657829</v>
      </c>
      <c r="L97" s="827">
        <f t="shared" si="100"/>
        <v>1</v>
      </c>
      <c r="M97" s="104"/>
      <c r="N97" s="838">
        <f t="shared" si="57"/>
        <v>6538.5401545638706</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832">
        <f t="shared" si="62"/>
        <v>278.90000160307255</v>
      </c>
      <c r="R97" s="832">
        <f t="shared" si="63"/>
        <v>278.90000160307255</v>
      </c>
      <c r="S97" s="835">
        <f t="shared" si="64"/>
        <v>0</v>
      </c>
      <c r="T97" s="832">
        <f t="shared" si="65"/>
        <v>11461.808850482144</v>
      </c>
      <c r="U97" s="832">
        <f t="shared" si="66"/>
        <v>573.35999735517078</v>
      </c>
      <c r="V97" s="839">
        <f t="shared" si="67"/>
        <v>382.23999823678054</v>
      </c>
      <c r="W97" s="1447"/>
      <c r="X97" s="1025">
        <f>'Recycling - Case 1'!AM147</f>
        <v>0</v>
      </c>
      <c r="Y97" s="1026">
        <f>Parameters!S198</f>
        <v>0.71500000000000008</v>
      </c>
      <c r="Z97" s="1027">
        <f t="shared" si="68"/>
        <v>0.4</v>
      </c>
      <c r="AA97" s="1028">
        <f t="shared" si="69"/>
        <v>0</v>
      </c>
      <c r="AB97" s="1028">
        <f t="shared" si="70"/>
        <v>0</v>
      </c>
      <c r="AC97" s="1029">
        <f t="shared" si="71"/>
        <v>0</v>
      </c>
      <c r="AD97" s="1028">
        <f t="shared" si="72"/>
        <v>7058.9546435672282</v>
      </c>
      <c r="AE97" s="1028">
        <f t="shared" si="73"/>
        <v>361.9203438443177</v>
      </c>
      <c r="AF97" s="1030">
        <f t="shared" si="74"/>
        <v>241.28022922954514</v>
      </c>
      <c r="AG97" s="104"/>
      <c r="AH97" s="1025">
        <f>'Recycling - Case 1'!AM187</f>
        <v>0</v>
      </c>
      <c r="AI97" s="1026">
        <f>Parameters!S198</f>
        <v>0.71500000000000008</v>
      </c>
      <c r="AJ97" s="1027">
        <f t="shared" si="75"/>
        <v>0.4</v>
      </c>
      <c r="AK97" s="1028">
        <f t="shared" si="76"/>
        <v>0</v>
      </c>
      <c r="AL97" s="1028">
        <f t="shared" si="77"/>
        <v>0</v>
      </c>
      <c r="AM97" s="1029">
        <f t="shared" si="78"/>
        <v>0</v>
      </c>
      <c r="AN97" s="1028">
        <f t="shared" si="79"/>
        <v>7058.9546435672282</v>
      </c>
      <c r="AO97" s="1028">
        <f t="shared" si="80"/>
        <v>361.9203438443177</v>
      </c>
      <c r="AP97" s="1030">
        <f t="shared" si="81"/>
        <v>241.28022922954514</v>
      </c>
      <c r="AQ97" s="104"/>
      <c r="AR97" s="1064">
        <f>'Recycling - Case 1'!G107</f>
        <v>613.81291267606582</v>
      </c>
      <c r="AS97" s="1065">
        <v>1</v>
      </c>
      <c r="AT97" s="1066">
        <f t="shared" si="82"/>
        <v>0.05</v>
      </c>
      <c r="AU97" s="1044">
        <f t="shared" si="83"/>
        <v>15.345322816901646</v>
      </c>
      <c r="AV97" s="1044">
        <f t="shared" si="84"/>
        <v>15.345322816901646</v>
      </c>
      <c r="AW97" s="1045">
        <f t="shared" si="85"/>
        <v>0</v>
      </c>
      <c r="AX97" s="1044">
        <f t="shared" si="51"/>
        <v>188.41059777846917</v>
      </c>
      <c r="AY97" s="1044">
        <f t="shared" si="54"/>
        <v>10.701758930546429</v>
      </c>
      <c r="AZ97" s="1067">
        <f t="shared" si="52"/>
        <v>7.1345059536976194</v>
      </c>
      <c r="BB97" s="1055">
        <f t="shared" si="86"/>
        <v>382.23999823678054</v>
      </c>
      <c r="BC97" s="1056">
        <f t="shared" si="87"/>
        <v>241.28022922954514</v>
      </c>
      <c r="BD97" s="1082">
        <f t="shared" si="101"/>
        <v>7.1345059536976194</v>
      </c>
      <c r="BE97" s="1056">
        <f t="shared" si="60"/>
        <v>630.65473342002326</v>
      </c>
      <c r="BF97" s="167">
        <v>0</v>
      </c>
      <c r="BG97" s="1075">
        <f t="shared" si="88"/>
        <v>630.65473342002326</v>
      </c>
      <c r="BI97" s="1055">
        <f t="shared" si="89"/>
        <v>382.23999823678054</v>
      </c>
      <c r="BJ97" s="1056">
        <f t="shared" si="90"/>
        <v>241.28022922954514</v>
      </c>
      <c r="BK97" s="1082">
        <f t="shared" si="91"/>
        <v>7.1345059536976194</v>
      </c>
      <c r="BL97" s="1056">
        <f t="shared" si="61"/>
        <v>630.65473342002326</v>
      </c>
      <c r="BM97" s="167">
        <v>0</v>
      </c>
      <c r="BN97" s="1075">
        <f t="shared" si="92"/>
        <v>630.65473342002326</v>
      </c>
    </row>
    <row r="98" spans="1:66">
      <c r="A98" s="927">
        <f>'Input data'!A128</f>
        <v>2028</v>
      </c>
      <c r="B98" s="824">
        <f>'Input data'!B128</f>
        <v>64.676158618096451</v>
      </c>
      <c r="C98" s="824">
        <f>'Recycling - Case 1'!AK108/B98</f>
        <v>344.55360296471088</v>
      </c>
      <c r="D98" s="826">
        <f>'Recycling - Case 1'!AM108</f>
        <v>0.27817854327248531</v>
      </c>
      <c r="E98" s="826">
        <f>'Recycling - Case 1'!BE108</f>
        <v>0.17731856912076779</v>
      </c>
      <c r="F98" s="826">
        <f>'Recycling - Case 1'!BF108</f>
        <v>0.22488791681045028</v>
      </c>
      <c r="G98" s="826">
        <f>'Recycling - Case 1'!BG108</f>
        <v>7.7414131809895093E-2</v>
      </c>
      <c r="H98" s="826">
        <f>'Recycling - Case 1'!BH108</f>
        <v>0</v>
      </c>
      <c r="I98" s="826">
        <f>'Recycling - Case 1'!BI108</f>
        <v>0</v>
      </c>
      <c r="J98" s="826">
        <f>'Recycling - Case 1'!BJ108</f>
        <v>0</v>
      </c>
      <c r="K98" s="826">
        <f>'Recycling - Case 1'!BK108</f>
        <v>0.52037938225888702</v>
      </c>
      <c r="L98" s="827">
        <f t="shared" si="100"/>
        <v>1.0000000000000002</v>
      </c>
      <c r="M98" s="104"/>
      <c r="N98" s="838">
        <f t="shared" si="57"/>
        <v>6199.0428971457768</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832">
        <f t="shared" si="62"/>
        <v>268.32025742533665</v>
      </c>
      <c r="R98" s="832">
        <f t="shared" si="63"/>
        <v>268.32025742533665</v>
      </c>
      <c r="S98" s="835">
        <f t="shared" si="64"/>
        <v>0</v>
      </c>
      <c r="T98" s="832">
        <f t="shared" si="65"/>
        <v>11171.130094006658</v>
      </c>
      <c r="U98" s="832">
        <f t="shared" si="66"/>
        <v>558.99901390082368</v>
      </c>
      <c r="V98" s="839">
        <f t="shared" si="67"/>
        <v>372.66600926721577</v>
      </c>
      <c r="W98" s="1447"/>
      <c r="X98" s="1025">
        <f>'Recycling - Case 1'!AM148</f>
        <v>0</v>
      </c>
      <c r="Y98" s="1026">
        <f>Parameters!S199</f>
        <v>0.71500000000000008</v>
      </c>
      <c r="Z98" s="1027">
        <f t="shared" si="68"/>
        <v>0.4</v>
      </c>
      <c r="AA98" s="1028">
        <f t="shared" si="69"/>
        <v>0</v>
      </c>
      <c r="AB98" s="1028">
        <f t="shared" si="70"/>
        <v>0</v>
      </c>
      <c r="AC98" s="1029">
        <f t="shared" si="71"/>
        <v>0</v>
      </c>
      <c r="AD98" s="1028">
        <f t="shared" si="72"/>
        <v>6714.6853631770973</v>
      </c>
      <c r="AE98" s="1028">
        <f t="shared" si="73"/>
        <v>344.26928039013092</v>
      </c>
      <c r="AF98" s="1030">
        <f t="shared" si="74"/>
        <v>229.5128535934206</v>
      </c>
      <c r="AG98" s="104"/>
      <c r="AH98" s="1025">
        <f>'Recycling - Case 1'!AM188</f>
        <v>0</v>
      </c>
      <c r="AI98" s="1026">
        <f>Parameters!S199</f>
        <v>0.71500000000000008</v>
      </c>
      <c r="AJ98" s="1027">
        <f t="shared" si="75"/>
        <v>0.4</v>
      </c>
      <c r="AK98" s="1028">
        <f t="shared" si="76"/>
        <v>0</v>
      </c>
      <c r="AL98" s="1028">
        <f t="shared" si="77"/>
        <v>0</v>
      </c>
      <c r="AM98" s="1029">
        <f t="shared" si="78"/>
        <v>0</v>
      </c>
      <c r="AN98" s="1028">
        <f t="shared" si="79"/>
        <v>6714.6853631770973</v>
      </c>
      <c r="AO98" s="1028">
        <f t="shared" si="80"/>
        <v>344.26928039013092</v>
      </c>
      <c r="AP98" s="1030">
        <f t="shared" si="81"/>
        <v>229.5128535934206</v>
      </c>
      <c r="AQ98" s="104"/>
      <c r="AR98" s="1064">
        <f>'Recycling - Case 1'!G108</f>
        <v>624.5147284656291</v>
      </c>
      <c r="AS98" s="1065">
        <v>1</v>
      </c>
      <c r="AT98" s="1066">
        <f t="shared" si="82"/>
        <v>0.05</v>
      </c>
      <c r="AU98" s="1044">
        <f t="shared" si="83"/>
        <v>15.612868211640729</v>
      </c>
      <c r="AV98" s="1044">
        <f t="shared" si="84"/>
        <v>15.612868211640729</v>
      </c>
      <c r="AW98" s="1045">
        <f t="shared" si="85"/>
        <v>0</v>
      </c>
      <c r="AX98" s="1044">
        <f t="shared" si="51"/>
        <v>193.05128695081021</v>
      </c>
      <c r="AY98" s="1044">
        <f t="shared" si="54"/>
        <v>10.972179039299665</v>
      </c>
      <c r="AZ98" s="1067">
        <f t="shared" si="52"/>
        <v>7.3147860261997764</v>
      </c>
      <c r="BB98" s="1055">
        <f t="shared" si="86"/>
        <v>372.66600926721577</v>
      </c>
      <c r="BC98" s="1056">
        <f t="shared" si="87"/>
        <v>229.5128535934206</v>
      </c>
      <c r="BD98" s="1082">
        <f t="shared" si="101"/>
        <v>7.3147860261997764</v>
      </c>
      <c r="BE98" s="1056">
        <f t="shared" si="60"/>
        <v>609.49364888683613</v>
      </c>
      <c r="BF98" s="167">
        <v>0</v>
      </c>
      <c r="BG98" s="1075">
        <f t="shared" si="88"/>
        <v>609.49364888683613</v>
      </c>
      <c r="BI98" s="1055">
        <f t="shared" si="89"/>
        <v>372.66600926721577</v>
      </c>
      <c r="BJ98" s="1056">
        <f t="shared" si="90"/>
        <v>229.5128535934206</v>
      </c>
      <c r="BK98" s="1082">
        <f t="shared" si="91"/>
        <v>7.3147860261997764</v>
      </c>
      <c r="BL98" s="1056">
        <f t="shared" si="61"/>
        <v>609.49364888683613</v>
      </c>
      <c r="BM98" s="167">
        <v>0</v>
      </c>
      <c r="BN98" s="1075">
        <f t="shared" si="92"/>
        <v>609.49364888683613</v>
      </c>
    </row>
    <row r="99" spans="1:66">
      <c r="A99" s="927">
        <f>'Input data'!A129</f>
        <v>2029</v>
      </c>
      <c r="B99" s="824">
        <f>'Input data'!B129</f>
        <v>65.31298905018393</v>
      </c>
      <c r="C99" s="824">
        <f>'Recycling - Case 1'!AK109/B99</f>
        <v>335.61605460864763</v>
      </c>
      <c r="D99" s="826">
        <f>'Recycling - Case 1'!AM109</f>
        <v>0.26811814175737969</v>
      </c>
      <c r="E99" s="826">
        <f>'Recycling - Case 1'!BE109</f>
        <v>0.17811824591588135</v>
      </c>
      <c r="F99" s="826">
        <f>'Recycling - Case 1'!BF109</f>
        <v>0.22590212332850684</v>
      </c>
      <c r="G99" s="826">
        <f>'Recycling - Case 1'!BG109</f>
        <v>7.717923431002463E-2</v>
      </c>
      <c r="H99" s="826">
        <f>'Recycling - Case 1'!BH109</f>
        <v>0</v>
      </c>
      <c r="I99" s="826">
        <f>'Recycling - Case 1'!BI109</f>
        <v>0</v>
      </c>
      <c r="J99" s="826">
        <f>'Recycling - Case 1'!BJ109</f>
        <v>0</v>
      </c>
      <c r="K99" s="826">
        <f>'Recycling - Case 1'!BK109</f>
        <v>0.51880039644558706</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832">
        <f t="shared" si="62"/>
        <v>258.09223831086325</v>
      </c>
      <c r="R99" s="832">
        <f t="shared" si="63"/>
        <v>258.09223831086325</v>
      </c>
      <c r="S99" s="835">
        <f t="shared" si="64"/>
        <v>0</v>
      </c>
      <c r="T99" s="832">
        <f t="shared" si="65"/>
        <v>10884.399888655424</v>
      </c>
      <c r="U99" s="832">
        <f t="shared" si="66"/>
        <v>544.82244366209738</v>
      </c>
      <c r="V99" s="839">
        <f t="shared" si="67"/>
        <v>363.21496244139826</v>
      </c>
      <c r="W99" s="1447"/>
      <c r="X99" s="1025">
        <f>'Recycling - Case 1'!AM149</f>
        <v>0</v>
      </c>
      <c r="Y99" s="1026">
        <f>Parameters!S200</f>
        <v>0.71500000000000008</v>
      </c>
      <c r="Z99" s="1027">
        <f t="shared" si="68"/>
        <v>0.4</v>
      </c>
      <c r="AA99" s="1028">
        <f t="shared" si="69"/>
        <v>0</v>
      </c>
      <c r="AB99" s="1028">
        <f t="shared" si="70"/>
        <v>0</v>
      </c>
      <c r="AC99" s="1029">
        <f t="shared" si="71"/>
        <v>0</v>
      </c>
      <c r="AD99" s="1028">
        <f t="shared" si="72"/>
        <v>6387.2062937183182</v>
      </c>
      <c r="AE99" s="1028">
        <f t="shared" si="73"/>
        <v>327.47906945877918</v>
      </c>
      <c r="AF99" s="1030">
        <f t="shared" si="74"/>
        <v>218.31937963918611</v>
      </c>
      <c r="AG99" s="104"/>
      <c r="AH99" s="1025">
        <f>'Recycling - Case 1'!AM189</f>
        <v>0</v>
      </c>
      <c r="AI99" s="1026">
        <f>Parameters!S200</f>
        <v>0.71500000000000008</v>
      </c>
      <c r="AJ99" s="1027">
        <f t="shared" si="75"/>
        <v>0.4</v>
      </c>
      <c r="AK99" s="1028">
        <f t="shared" si="76"/>
        <v>0</v>
      </c>
      <c r="AL99" s="1028">
        <f t="shared" si="77"/>
        <v>0</v>
      </c>
      <c r="AM99" s="1029">
        <f t="shared" si="78"/>
        <v>0</v>
      </c>
      <c r="AN99" s="1028">
        <f t="shared" si="79"/>
        <v>6387.2062937183182</v>
      </c>
      <c r="AO99" s="1028">
        <f t="shared" si="80"/>
        <v>327.47906945877918</v>
      </c>
      <c r="AP99" s="1030">
        <f t="shared" si="81"/>
        <v>218.31937963918611</v>
      </c>
      <c r="AQ99" s="104"/>
      <c r="AR99" s="1064">
        <f>'Recycling - Case 1'!G109</f>
        <v>635.36778328058904</v>
      </c>
      <c r="AS99" s="1065">
        <v>1</v>
      </c>
      <c r="AT99" s="1066">
        <f t="shared" si="82"/>
        <v>0.05</v>
      </c>
      <c r="AU99" s="1044">
        <f t="shared" si="83"/>
        <v>15.884194582014727</v>
      </c>
      <c r="AV99" s="1044">
        <f t="shared" si="84"/>
        <v>15.884194582014727</v>
      </c>
      <c r="AW99" s="1045">
        <f t="shared" si="85"/>
        <v>0</v>
      </c>
      <c r="AX99" s="1044">
        <f t="shared" si="51"/>
        <v>197.69304979508345</v>
      </c>
      <c r="AY99" s="1044">
        <f t="shared" si="54"/>
        <v>11.242431737741471</v>
      </c>
      <c r="AZ99" s="1067">
        <f t="shared" si="52"/>
        <v>7.4949544918276478</v>
      </c>
      <c r="BB99" s="1055">
        <f t="shared" si="86"/>
        <v>363.21496244139826</v>
      </c>
      <c r="BC99" s="1056">
        <f t="shared" si="87"/>
        <v>218.31937963918611</v>
      </c>
      <c r="BD99" s="1082">
        <f t="shared" si="101"/>
        <v>7.4949544918276478</v>
      </c>
      <c r="BE99" s="1056">
        <f t="shared" si="60"/>
        <v>589.02929657241202</v>
      </c>
      <c r="BF99" s="167">
        <v>0</v>
      </c>
      <c r="BG99" s="1075">
        <f t="shared" si="88"/>
        <v>589.02929657241202</v>
      </c>
      <c r="BI99" s="1055">
        <f t="shared" si="89"/>
        <v>363.21496244139826</v>
      </c>
      <c r="BJ99" s="1056">
        <f t="shared" si="90"/>
        <v>218.31937963918611</v>
      </c>
      <c r="BK99" s="1082">
        <f t="shared" si="91"/>
        <v>7.4949544918276478</v>
      </c>
      <c r="BL99" s="1056">
        <f t="shared" si="61"/>
        <v>589.02929657241202</v>
      </c>
      <c r="BM99" s="167">
        <v>0</v>
      </c>
      <c r="BN99" s="1075">
        <f t="shared" si="92"/>
        <v>589.02929657241202</v>
      </c>
    </row>
    <row r="100" spans="1:66">
      <c r="A100" s="927">
        <f>'Input data'!A130</f>
        <v>2030</v>
      </c>
      <c r="B100" s="824">
        <f>'Input data'!B130</f>
        <v>65.956090000000003</v>
      </c>
      <c r="C100" s="824">
        <f>'Recycling - Case 1'!AK110/B100</f>
        <v>327.18239465170882</v>
      </c>
      <c r="D100" s="826">
        <f>'Recycling - Case 1'!AM110</f>
        <v>0.25820669926447132</v>
      </c>
      <c r="E100" s="826">
        <f>'Recycling - Case 1'!BE110</f>
        <v>0.17890535766768509</v>
      </c>
      <c r="F100" s="826">
        <f>'Recycling - Case 1'!BF110</f>
        <v>0.22690039397234227</v>
      </c>
      <c r="G100" s="826">
        <f>'Recycling - Case 1'!BG110</f>
        <v>7.6948027672859368E-2</v>
      </c>
      <c r="H100" s="826">
        <f>'Recycling - Case 1'!BH110</f>
        <v>0</v>
      </c>
      <c r="I100" s="826">
        <f>'Recycling - Case 1'!BI110</f>
        <v>0</v>
      </c>
      <c r="J100" s="826">
        <f>'Recycling - Case 1'!BJ110</f>
        <v>0</v>
      </c>
      <c r="K100" s="826">
        <f>'Recycling - Case 1'!BK110</f>
        <v>0.51724622068711357</v>
      </c>
      <c r="L100" s="827">
        <f t="shared" si="100"/>
        <v>1.0000000000000002</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832">
        <f t="shared" si="62"/>
        <v>248.20754709580797</v>
      </c>
      <c r="R100" s="832">
        <f t="shared" si="63"/>
        <v>248.20754709580797</v>
      </c>
      <c r="S100" s="835">
        <f t="shared" si="64"/>
        <v>0</v>
      </c>
      <c r="T100" s="832">
        <f t="shared" si="65"/>
        <v>10601.768989217142</v>
      </c>
      <c r="U100" s="832">
        <f t="shared" si="66"/>
        <v>530.83844653408926</v>
      </c>
      <c r="V100" s="839">
        <f t="shared" si="67"/>
        <v>353.89229768939282</v>
      </c>
      <c r="W100" s="1447"/>
      <c r="X100" s="1025">
        <f>'Recycling - Case 1'!AM150</f>
        <v>0</v>
      </c>
      <c r="Y100" s="1026">
        <f>Parameters!S201</f>
        <v>0.71500000000000008</v>
      </c>
      <c r="Z100" s="1027">
        <f t="shared" si="68"/>
        <v>0.4</v>
      </c>
      <c r="AA100" s="1028">
        <f t="shared" si="69"/>
        <v>0</v>
      </c>
      <c r="AB100" s="1028">
        <f t="shared" si="70"/>
        <v>0</v>
      </c>
      <c r="AC100" s="1029">
        <f t="shared" si="71"/>
        <v>0</v>
      </c>
      <c r="AD100" s="1028">
        <f t="shared" si="72"/>
        <v>6075.6985669410142</v>
      </c>
      <c r="AE100" s="1028">
        <f t="shared" si="73"/>
        <v>311.50772677730384</v>
      </c>
      <c r="AF100" s="1030">
        <f t="shared" si="74"/>
        <v>207.67181785153591</v>
      </c>
      <c r="AG100" s="104"/>
      <c r="AH100" s="1025">
        <f>'Recycling - Case 1'!AM190</f>
        <v>0</v>
      </c>
      <c r="AI100" s="1026">
        <f>Parameters!S201</f>
        <v>0.71500000000000008</v>
      </c>
      <c r="AJ100" s="1027">
        <f t="shared" si="75"/>
        <v>0.4</v>
      </c>
      <c r="AK100" s="1028">
        <f t="shared" si="76"/>
        <v>0</v>
      </c>
      <c r="AL100" s="1028">
        <f t="shared" si="77"/>
        <v>0</v>
      </c>
      <c r="AM100" s="1029">
        <f t="shared" si="78"/>
        <v>0</v>
      </c>
      <c r="AN100" s="1028">
        <f t="shared" si="79"/>
        <v>6075.6985669410142</v>
      </c>
      <c r="AO100" s="1028">
        <f t="shared" si="80"/>
        <v>311.50772677730384</v>
      </c>
      <c r="AP100" s="1030">
        <f t="shared" si="81"/>
        <v>207.67181785153591</v>
      </c>
      <c r="AQ100" s="104"/>
      <c r="AR100" s="1064">
        <f>'Recycling - Case 1'!G110</f>
        <v>646.37401788713851</v>
      </c>
      <c r="AS100" s="1065">
        <v>1</v>
      </c>
      <c r="AT100" s="1066">
        <f t="shared" si="82"/>
        <v>0.05</v>
      </c>
      <c r="AU100" s="1044">
        <f t="shared" si="83"/>
        <v>16.159350447178465</v>
      </c>
      <c r="AV100" s="1044">
        <f t="shared" si="84"/>
        <v>16.159350447178465</v>
      </c>
      <c r="AW100" s="1045">
        <f t="shared" si="85"/>
        <v>0</v>
      </c>
      <c r="AX100" s="1044">
        <f t="shared" si="51"/>
        <v>202.33965328029291</v>
      </c>
      <c r="AY100" s="1044">
        <f t="shared" si="54"/>
        <v>11.512746961969029</v>
      </c>
      <c r="AZ100" s="1067">
        <f t="shared" si="52"/>
        <v>7.6751646413126862</v>
      </c>
      <c r="BB100" s="1055">
        <f t="shared" si="86"/>
        <v>353.89229768939282</v>
      </c>
      <c r="BC100" s="1056">
        <f t="shared" si="87"/>
        <v>207.67181785153591</v>
      </c>
      <c r="BD100" s="1082">
        <f t="shared" si="101"/>
        <v>7.6751646413126862</v>
      </c>
      <c r="BE100" s="1056">
        <f t="shared" si="60"/>
        <v>569.23928018224137</v>
      </c>
      <c r="BF100" s="167">
        <v>0</v>
      </c>
      <c r="BG100" s="1075">
        <f t="shared" si="88"/>
        <v>569.23928018224137</v>
      </c>
      <c r="BI100" s="1055">
        <f t="shared" si="89"/>
        <v>353.89229768939282</v>
      </c>
      <c r="BJ100" s="1056">
        <f t="shared" si="90"/>
        <v>207.67181785153591</v>
      </c>
      <c r="BK100" s="1082">
        <f t="shared" si="91"/>
        <v>7.6751646413126862</v>
      </c>
      <c r="BL100" s="1056">
        <f t="shared" si="61"/>
        <v>569.23928018224137</v>
      </c>
      <c r="BM100" s="167">
        <v>0</v>
      </c>
      <c r="BN100" s="1075">
        <f t="shared" si="92"/>
        <v>569.23928018224137</v>
      </c>
    </row>
    <row r="101" spans="1:66">
      <c r="A101" s="927">
        <f>'Input data'!A131</f>
        <v>2031</v>
      </c>
      <c r="B101" s="824">
        <f>'Input data'!B131</f>
        <v>66.518977190687664</v>
      </c>
      <c r="C101" s="824">
        <f>'Recycling - Case 1'!AK111/B101</f>
        <v>320.01001515907478</v>
      </c>
      <c r="D101" s="826">
        <f>'Recycling - Case 1'!AM111</f>
        <v>0.24936665275687561</v>
      </c>
      <c r="E101" s="826">
        <f>'Recycling - Case 1'!BE111</f>
        <v>0.17957804457145587</v>
      </c>
      <c r="F101" s="826">
        <f>'Recycling - Case 1'!BF111</f>
        <v>0.22775354295276104</v>
      </c>
      <c r="G101" s="826">
        <f>'Recycling - Case 1'!BG111</f>
        <v>7.6750432253238687E-2</v>
      </c>
      <c r="H101" s="826">
        <f>'Recycling - Case 1'!BH111</f>
        <v>0</v>
      </c>
      <c r="I101" s="826">
        <f>'Recycling - Case 1'!BI111</f>
        <v>0</v>
      </c>
      <c r="J101" s="826">
        <f>'Recycling - Case 1'!BJ111</f>
        <v>0</v>
      </c>
      <c r="K101" s="826">
        <f>'Recycling - Case 1'!BK111</f>
        <v>0.51591798022254431</v>
      </c>
      <c r="L101" s="827">
        <f t="shared" si="100"/>
        <v>1</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832">
        <f t="shared" si="62"/>
        <v>238.74645464885418</v>
      </c>
      <c r="R101" s="832">
        <f t="shared" si="63"/>
        <v>238.74645464885418</v>
      </c>
      <c r="S101" s="835">
        <f t="shared" si="64"/>
        <v>0</v>
      </c>
      <c r="T101" s="832">
        <f t="shared" si="65"/>
        <v>10323.461068951392</v>
      </c>
      <c r="U101" s="832">
        <f t="shared" si="66"/>
        <v>517.0543749146035</v>
      </c>
      <c r="V101" s="839">
        <f t="shared" si="67"/>
        <v>344.70291660973567</v>
      </c>
      <c r="W101" s="1447"/>
      <c r="X101" s="1025">
        <f>'Recycling - Case 1'!AM151</f>
        <v>0</v>
      </c>
      <c r="Y101" s="1026">
        <f>Parameters!S202</f>
        <v>0.71500000000000008</v>
      </c>
      <c r="Z101" s="1027">
        <f t="shared" si="68"/>
        <v>0.4</v>
      </c>
      <c r="AA101" s="1028">
        <f t="shared" si="69"/>
        <v>0</v>
      </c>
      <c r="AB101" s="1028">
        <f t="shared" si="70"/>
        <v>0</v>
      </c>
      <c r="AC101" s="1029">
        <f t="shared" si="71"/>
        <v>0</v>
      </c>
      <c r="AD101" s="1028">
        <f t="shared" si="72"/>
        <v>5779.3832512711142</v>
      </c>
      <c r="AE101" s="1028">
        <f t="shared" si="73"/>
        <v>296.31531566990037</v>
      </c>
      <c r="AF101" s="1030">
        <f t="shared" si="74"/>
        <v>197.54354377993357</v>
      </c>
      <c r="AG101" s="104"/>
      <c r="AH101" s="1025">
        <f>'Recycling - Case 1'!AM191</f>
        <v>0</v>
      </c>
      <c r="AI101" s="1026">
        <f>Parameters!S202</f>
        <v>0.71500000000000008</v>
      </c>
      <c r="AJ101" s="1027">
        <f t="shared" si="75"/>
        <v>0.4</v>
      </c>
      <c r="AK101" s="1028">
        <f t="shared" si="76"/>
        <v>0</v>
      </c>
      <c r="AL101" s="1028">
        <f t="shared" si="77"/>
        <v>0</v>
      </c>
      <c r="AM101" s="1029">
        <f t="shared" si="78"/>
        <v>0</v>
      </c>
      <c r="AN101" s="1028">
        <f t="shared" si="79"/>
        <v>5779.3832512711142</v>
      </c>
      <c r="AO101" s="1028">
        <f t="shared" si="80"/>
        <v>296.31531566990037</v>
      </c>
      <c r="AP101" s="1030">
        <f t="shared" si="81"/>
        <v>197.54354377993357</v>
      </c>
      <c r="AQ101" s="104"/>
      <c r="AR101" s="1064">
        <f>'Recycling - Case 1'!G111</f>
        <v>656.68100693696977</v>
      </c>
      <c r="AS101" s="1065">
        <v>1</v>
      </c>
      <c r="AT101" s="1066">
        <f t="shared" si="82"/>
        <v>0.05</v>
      </c>
      <c r="AU101" s="1044">
        <f t="shared" si="83"/>
        <v>16.417025173424246</v>
      </c>
      <c r="AV101" s="1044">
        <f t="shared" si="84"/>
        <v>16.417025173424246</v>
      </c>
      <c r="AW101" s="1045">
        <f t="shared" si="85"/>
        <v>0</v>
      </c>
      <c r="AX101" s="1044">
        <f t="shared" si="51"/>
        <v>206.97333437053788</v>
      </c>
      <c r="AY101" s="1044">
        <f t="shared" si="54"/>
        <v>11.783344083179257</v>
      </c>
      <c r="AZ101" s="1067">
        <f t="shared" si="52"/>
        <v>7.8555627221195046</v>
      </c>
      <c r="BB101" s="1055">
        <f t="shared" si="86"/>
        <v>344.70291660973567</v>
      </c>
      <c r="BC101" s="1056">
        <f t="shared" si="87"/>
        <v>197.54354377993357</v>
      </c>
      <c r="BD101" s="1082">
        <f t="shared" si="101"/>
        <v>7.8555627221195046</v>
      </c>
      <c r="BE101" s="1056">
        <f t="shared" si="60"/>
        <v>550.10202311178875</v>
      </c>
      <c r="BF101" s="167">
        <v>0</v>
      </c>
      <c r="BG101" s="1075">
        <f t="shared" si="88"/>
        <v>550.10202311178875</v>
      </c>
      <c r="BI101" s="1055">
        <f t="shared" si="89"/>
        <v>344.70291660973567</v>
      </c>
      <c r="BJ101" s="1056">
        <f t="shared" si="90"/>
        <v>197.54354377993357</v>
      </c>
      <c r="BK101" s="1082">
        <f t="shared" si="91"/>
        <v>7.8555627221195046</v>
      </c>
      <c r="BL101" s="1056">
        <f t="shared" si="61"/>
        <v>550.10202311178875</v>
      </c>
      <c r="BM101" s="167">
        <v>0</v>
      </c>
      <c r="BN101" s="1075">
        <f t="shared" si="92"/>
        <v>550.10202311178875</v>
      </c>
    </row>
    <row r="102" spans="1:66">
      <c r="A102" s="927">
        <f>'Input data'!A132</f>
        <v>2032</v>
      </c>
      <c r="B102" s="824">
        <f>'Input data'!B132</f>
        <v>67.08666821358311</v>
      </c>
      <c r="C102" s="824">
        <f>'Recycling - Case 1'!AK112/B102</f>
        <v>312.95169592195651</v>
      </c>
      <c r="D102" s="826">
        <f>'Recycling - Case 1'!AM112</f>
        <v>0.24026754761897906</v>
      </c>
      <c r="E102" s="826">
        <f>'Recycling - Case 1'!BE112</f>
        <v>0.18024163675808727</v>
      </c>
      <c r="F102" s="826">
        <f>'Recycling - Case 1'!BF112</f>
        <v>0.22859515737139297</v>
      </c>
      <c r="G102" s="826">
        <f>'Recycling - Case 1'!BG112</f>
        <v>7.6555508320812815E-2</v>
      </c>
      <c r="H102" s="826">
        <f>'Recycling - Case 1'!BH112</f>
        <v>0</v>
      </c>
      <c r="I102" s="826">
        <f>'Recycling - Case 1'!BI112</f>
        <v>0</v>
      </c>
      <c r="J102" s="826">
        <f>'Recycling - Case 1'!BJ112</f>
        <v>0</v>
      </c>
      <c r="K102" s="826">
        <f>'Recycling - Case 1'!BK112</f>
        <v>0.51460769754970714</v>
      </c>
      <c r="L102" s="827">
        <f t="shared" si="100"/>
        <v>1.0000000000000002</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832">
        <f t="shared" si="62"/>
        <v>229.05847313049728</v>
      </c>
      <c r="R102" s="832">
        <f t="shared" si="63"/>
        <v>229.05847313049728</v>
      </c>
      <c r="S102" s="835">
        <f t="shared" si="64"/>
        <v>0</v>
      </c>
      <c r="T102" s="832">
        <f t="shared" si="65"/>
        <v>10049.038404604657</v>
      </c>
      <c r="U102" s="832">
        <f t="shared" si="66"/>
        <v>503.48113747723346</v>
      </c>
      <c r="V102" s="839">
        <f t="shared" si="67"/>
        <v>335.65409165148895</v>
      </c>
      <c r="W102" s="1447"/>
      <c r="X102" s="1025">
        <f>'Recycling - Case 1'!AM152</f>
        <v>0</v>
      </c>
      <c r="Y102" s="1026">
        <f>Parameters!S203</f>
        <v>0.71500000000000008</v>
      </c>
      <c r="Z102" s="1027">
        <f t="shared" si="68"/>
        <v>0.4</v>
      </c>
      <c r="AA102" s="1028">
        <f t="shared" si="69"/>
        <v>0</v>
      </c>
      <c r="AB102" s="1028">
        <f t="shared" si="70"/>
        <v>0</v>
      </c>
      <c r="AC102" s="1029">
        <f t="shared" si="71"/>
        <v>0</v>
      </c>
      <c r="AD102" s="1028">
        <f t="shared" si="72"/>
        <v>5497.5194040756878</v>
      </c>
      <c r="AE102" s="1028">
        <f t="shared" si="73"/>
        <v>281.86384719542679</v>
      </c>
      <c r="AF102" s="1030">
        <f t="shared" si="74"/>
        <v>187.90923146361786</v>
      </c>
      <c r="AG102" s="104"/>
      <c r="AH102" s="1025">
        <f>'Recycling - Case 1'!AM192</f>
        <v>0</v>
      </c>
      <c r="AI102" s="1026">
        <f>Parameters!S203</f>
        <v>0.71500000000000008</v>
      </c>
      <c r="AJ102" s="1027">
        <f t="shared" si="75"/>
        <v>0.4</v>
      </c>
      <c r="AK102" s="1028">
        <f t="shared" si="76"/>
        <v>0</v>
      </c>
      <c r="AL102" s="1028">
        <f t="shared" si="77"/>
        <v>0</v>
      </c>
      <c r="AM102" s="1029">
        <f t="shared" si="78"/>
        <v>0</v>
      </c>
      <c r="AN102" s="1028">
        <f t="shared" si="79"/>
        <v>5497.5194040756878</v>
      </c>
      <c r="AO102" s="1028">
        <f t="shared" si="80"/>
        <v>281.86384719542679</v>
      </c>
      <c r="AP102" s="1030">
        <f t="shared" si="81"/>
        <v>187.90923146361786</v>
      </c>
      <c r="AQ102" s="104"/>
      <c r="AR102" s="1064">
        <f>'Recycling - Case 1'!G112</f>
        <v>667.11684340477314</v>
      </c>
      <c r="AS102" s="1065">
        <v>1</v>
      </c>
      <c r="AT102" s="1066">
        <f t="shared" si="82"/>
        <v>0.05</v>
      </c>
      <c r="AU102" s="1044">
        <f t="shared" si="83"/>
        <v>16.67792108511933</v>
      </c>
      <c r="AV102" s="1044">
        <f t="shared" si="84"/>
        <v>16.67792108511933</v>
      </c>
      <c r="AW102" s="1045">
        <f t="shared" si="85"/>
        <v>0</v>
      </c>
      <c r="AX102" s="1044">
        <f t="shared" si="51"/>
        <v>211.59806679296568</v>
      </c>
      <c r="AY102" s="1044">
        <f t="shared" si="54"/>
        <v>12.05318866269152</v>
      </c>
      <c r="AZ102" s="1067">
        <f t="shared" si="52"/>
        <v>8.0354591084610139</v>
      </c>
      <c r="BB102" s="1055">
        <f t="shared" si="86"/>
        <v>335.65409165148895</v>
      </c>
      <c r="BC102" s="1056">
        <f t="shared" si="87"/>
        <v>187.90923146361786</v>
      </c>
      <c r="BD102" s="1082">
        <f t="shared" si="101"/>
        <v>8.0354591084610139</v>
      </c>
      <c r="BE102" s="1056">
        <f t="shared" si="60"/>
        <v>531.59878222356792</v>
      </c>
      <c r="BF102" s="167">
        <v>0</v>
      </c>
      <c r="BG102" s="1075">
        <f t="shared" si="88"/>
        <v>531.59878222356792</v>
      </c>
      <c r="BI102" s="1055">
        <f t="shared" si="89"/>
        <v>335.65409165148895</v>
      </c>
      <c r="BJ102" s="1056">
        <f t="shared" si="90"/>
        <v>187.90923146361786</v>
      </c>
      <c r="BK102" s="1082">
        <f t="shared" si="91"/>
        <v>8.0354591084610139</v>
      </c>
      <c r="BL102" s="1056">
        <f t="shared" si="61"/>
        <v>531.59878222356792</v>
      </c>
      <c r="BM102" s="167">
        <v>0</v>
      </c>
      <c r="BN102" s="1075">
        <f t="shared" si="92"/>
        <v>531.59878222356792</v>
      </c>
    </row>
    <row r="103" spans="1:66">
      <c r="A103" s="927">
        <f>'Input data'!A133</f>
        <v>2033</v>
      </c>
      <c r="B103" s="824">
        <f>'Input data'!B133</f>
        <v>67.659204065895452</v>
      </c>
      <c r="C103" s="824">
        <f>'Recycling - Case 1'!AK113/B103</f>
        <v>306.00580123724939</v>
      </c>
      <c r="D103" s="826">
        <f>'Recycling - Case 1'!AM113</f>
        <v>0.23089991515555844</v>
      </c>
      <c r="E103" s="826">
        <f>'Recycling - Case 1'!BE113</f>
        <v>0.18089629394968071</v>
      </c>
      <c r="F103" s="826">
        <f>'Recycling - Case 1'!BF113</f>
        <v>0.22942543979907346</v>
      </c>
      <c r="G103" s="826">
        <f>'Recycling - Case 1'!BG113</f>
        <v>7.6363208958724102E-2</v>
      </c>
      <c r="H103" s="826">
        <f>'Recycling - Case 1'!BH113</f>
        <v>0</v>
      </c>
      <c r="I103" s="826">
        <f>'Recycling - Case 1'!BI113</f>
        <v>0</v>
      </c>
      <c r="J103" s="826">
        <f>'Recycling - Case 1'!BJ113</f>
        <v>0</v>
      </c>
      <c r="K103" s="826">
        <f>'Recycling - Case 1'!BK113</f>
        <v>0.51331505729252191</v>
      </c>
      <c r="L103" s="827">
        <f t="shared" si="100"/>
        <v>1.0000000000000002</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832">
        <f t="shared" si="62"/>
        <v>219.14344967651783</v>
      </c>
      <c r="R103" s="832">
        <f t="shared" si="63"/>
        <v>219.14344967651783</v>
      </c>
      <c r="S103" s="835">
        <f t="shared" si="64"/>
        <v>0</v>
      </c>
      <c r="T103" s="832">
        <f t="shared" si="65"/>
        <v>9778.0844680741793</v>
      </c>
      <c r="U103" s="832">
        <f t="shared" si="66"/>
        <v>490.09738620699579</v>
      </c>
      <c r="V103" s="839">
        <f t="shared" si="67"/>
        <v>326.73159080466388</v>
      </c>
      <c r="W103" s="1447"/>
      <c r="X103" s="1025">
        <f>'Recycling - Case 1'!AM153</f>
        <v>0</v>
      </c>
      <c r="Y103" s="1026">
        <f>Parameters!S204</f>
        <v>0.71500000000000008</v>
      </c>
      <c r="Z103" s="1027">
        <f t="shared" si="68"/>
        <v>0.4</v>
      </c>
      <c r="AA103" s="1028">
        <f t="shared" si="69"/>
        <v>0</v>
      </c>
      <c r="AB103" s="1028">
        <f t="shared" si="70"/>
        <v>0</v>
      </c>
      <c r="AC103" s="1029">
        <f t="shared" si="71"/>
        <v>0</v>
      </c>
      <c r="AD103" s="1028">
        <f t="shared" si="72"/>
        <v>5229.4022189204252</v>
      </c>
      <c r="AE103" s="1028">
        <f t="shared" si="73"/>
        <v>268.11718515526303</v>
      </c>
      <c r="AF103" s="1030">
        <f t="shared" si="74"/>
        <v>178.74479010350868</v>
      </c>
      <c r="AG103" s="104"/>
      <c r="AH103" s="1025">
        <f>'Recycling - Case 1'!AM193</f>
        <v>0</v>
      </c>
      <c r="AI103" s="1026">
        <f>Parameters!S204</f>
        <v>0.71500000000000008</v>
      </c>
      <c r="AJ103" s="1027">
        <f t="shared" si="75"/>
        <v>0.4</v>
      </c>
      <c r="AK103" s="1028">
        <f t="shared" si="76"/>
        <v>0</v>
      </c>
      <c r="AL103" s="1028">
        <f t="shared" si="77"/>
        <v>0</v>
      </c>
      <c r="AM103" s="1029">
        <f t="shared" si="78"/>
        <v>0</v>
      </c>
      <c r="AN103" s="1028">
        <f t="shared" si="79"/>
        <v>5229.4022189204252</v>
      </c>
      <c r="AO103" s="1028">
        <f t="shared" si="80"/>
        <v>268.11718515526303</v>
      </c>
      <c r="AP103" s="1030">
        <f t="shared" si="81"/>
        <v>178.74479010350868</v>
      </c>
      <c r="AQ103" s="104"/>
      <c r="AR103" s="1064">
        <f>'Recycling - Case 1'!G113</f>
        <v>677.68297583118044</v>
      </c>
      <c r="AS103" s="1065">
        <v>1</v>
      </c>
      <c r="AT103" s="1066">
        <f t="shared" si="82"/>
        <v>0.05</v>
      </c>
      <c r="AU103" s="1044">
        <f t="shared" si="83"/>
        <v>16.94207439577951</v>
      </c>
      <c r="AV103" s="1044">
        <f t="shared" si="84"/>
        <v>16.94207439577951</v>
      </c>
      <c r="AW103" s="1045">
        <f t="shared" si="85"/>
        <v>0</v>
      </c>
      <c r="AX103" s="1044">
        <f t="shared" si="51"/>
        <v>216.21762907638555</v>
      </c>
      <c r="AY103" s="1044">
        <f t="shared" si="54"/>
        <v>12.322512112359648</v>
      </c>
      <c r="AZ103" s="1067">
        <f t="shared" si="52"/>
        <v>8.2150080749064323</v>
      </c>
      <c r="BB103" s="1055">
        <f t="shared" si="86"/>
        <v>326.73159080466388</v>
      </c>
      <c r="BC103" s="1056">
        <f t="shared" si="87"/>
        <v>178.74479010350868</v>
      </c>
      <c r="BD103" s="1082">
        <f t="shared" si="101"/>
        <v>8.2150080749064323</v>
      </c>
      <c r="BE103" s="1056">
        <f t="shared" si="60"/>
        <v>513.69138898307904</v>
      </c>
      <c r="BF103" s="167">
        <v>0</v>
      </c>
      <c r="BG103" s="1075">
        <f t="shared" si="88"/>
        <v>513.69138898307904</v>
      </c>
      <c r="BI103" s="1055">
        <f t="shared" si="89"/>
        <v>326.73159080466388</v>
      </c>
      <c r="BJ103" s="1056">
        <f t="shared" si="90"/>
        <v>178.74479010350868</v>
      </c>
      <c r="BK103" s="1082">
        <f t="shared" si="91"/>
        <v>8.2150080749064323</v>
      </c>
      <c r="BL103" s="1056">
        <f t="shared" si="61"/>
        <v>513.69138898307904</v>
      </c>
      <c r="BM103" s="167">
        <v>0</v>
      </c>
      <c r="BN103" s="1075">
        <f t="shared" si="92"/>
        <v>513.69138898307904</v>
      </c>
    </row>
    <row r="104" spans="1:66">
      <c r="A104" s="927">
        <f>'Input data'!A134</f>
        <v>2034</v>
      </c>
      <c r="B104" s="824">
        <f>'Input data'!B134</f>
        <v>68.236626094715163</v>
      </c>
      <c r="C104" s="824">
        <f>'Recycling - Case 1'!AK114/B104</f>
        <v>299.17072159316484</v>
      </c>
      <c r="D104" s="826">
        <f>'Recycling - Case 1'!AM114</f>
        <v>0.22125381783777373</v>
      </c>
      <c r="E104" s="826">
        <f>'Recycling - Case 1'!BE114</f>
        <v>0.18154217223260266</v>
      </c>
      <c r="F104" s="826">
        <f>'Recycling - Case 1'!BF114</f>
        <v>0.23024458819554225</v>
      </c>
      <c r="G104" s="826">
        <f>'Recycling - Case 1'!BG114</f>
        <v>7.6173488318077687E-2</v>
      </c>
      <c r="H104" s="826">
        <f>'Recycling - Case 1'!BH114</f>
        <v>0</v>
      </c>
      <c r="I104" s="826">
        <f>'Recycling - Case 1'!BI114</f>
        <v>0</v>
      </c>
      <c r="J104" s="826">
        <f>'Recycling - Case 1'!BJ114</f>
        <v>0</v>
      </c>
      <c r="K104" s="826">
        <f>'Recycling - Case 1'!BK114</f>
        <v>0.51203975125377732</v>
      </c>
      <c r="L104" s="827">
        <f t="shared" si="100"/>
        <v>0.99999999999999989</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832">
        <f t="shared" si="62"/>
        <v>209.0012385720207</v>
      </c>
      <c r="R104" s="832">
        <f t="shared" si="63"/>
        <v>209.0012385720207</v>
      </c>
      <c r="S104" s="835">
        <f t="shared" si="64"/>
        <v>0</v>
      </c>
      <c r="T104" s="832">
        <f t="shared" si="65"/>
        <v>9510.2028998575915</v>
      </c>
      <c r="U104" s="832">
        <f t="shared" si="66"/>
        <v>476.88280678860741</v>
      </c>
      <c r="V104" s="839">
        <f t="shared" si="67"/>
        <v>317.92187119240492</v>
      </c>
      <c r="W104" s="1447"/>
      <c r="X104" s="1025">
        <f>'Recycling - Case 1'!AM154</f>
        <v>0</v>
      </c>
      <c r="Y104" s="1026">
        <f>Parameters!S205</f>
        <v>0.71500000000000008</v>
      </c>
      <c r="Z104" s="1027">
        <f t="shared" si="68"/>
        <v>0.4</v>
      </c>
      <c r="AA104" s="1028">
        <f t="shared" si="69"/>
        <v>0</v>
      </c>
      <c r="AB104" s="1028">
        <f t="shared" si="70"/>
        <v>0</v>
      </c>
      <c r="AC104" s="1029">
        <f t="shared" si="71"/>
        <v>0</v>
      </c>
      <c r="AD104" s="1028">
        <f t="shared" si="72"/>
        <v>4974.3612631864326</v>
      </c>
      <c r="AE104" s="1028">
        <f t="shared" si="73"/>
        <v>255.04095573399226</v>
      </c>
      <c r="AF104" s="1030">
        <f t="shared" si="74"/>
        <v>170.02730382266151</v>
      </c>
      <c r="AG104" s="104"/>
      <c r="AH104" s="1025">
        <f>'Recycling - Case 1'!AM194</f>
        <v>0</v>
      </c>
      <c r="AI104" s="1026">
        <f>Parameters!S205</f>
        <v>0.71500000000000008</v>
      </c>
      <c r="AJ104" s="1027">
        <f t="shared" si="75"/>
        <v>0.4</v>
      </c>
      <c r="AK104" s="1028">
        <f t="shared" si="76"/>
        <v>0</v>
      </c>
      <c r="AL104" s="1028">
        <f t="shared" si="77"/>
        <v>0</v>
      </c>
      <c r="AM104" s="1029">
        <f t="shared" si="78"/>
        <v>0</v>
      </c>
      <c r="AN104" s="1028">
        <f t="shared" si="79"/>
        <v>4974.3612631864326</v>
      </c>
      <c r="AO104" s="1028">
        <f t="shared" si="80"/>
        <v>255.04095573399226</v>
      </c>
      <c r="AP104" s="1030">
        <f t="shared" si="81"/>
        <v>170.02730382266151</v>
      </c>
      <c r="AQ104" s="104"/>
      <c r="AR104" s="1064">
        <f>'Recycling - Case 1'!G114</f>
        <v>688.38086809685626</v>
      </c>
      <c r="AS104" s="1065">
        <v>1</v>
      </c>
      <c r="AT104" s="1066">
        <f t="shared" si="82"/>
        <v>0.05</v>
      </c>
      <c r="AU104" s="1044">
        <f t="shared" si="83"/>
        <v>17.209521702421409</v>
      </c>
      <c r="AV104" s="1044">
        <f t="shared" si="84"/>
        <v>17.209521702421409</v>
      </c>
      <c r="AW104" s="1045">
        <f t="shared" si="85"/>
        <v>0</v>
      </c>
      <c r="AX104" s="1044">
        <f t="shared" si="51"/>
        <v>220.83561630223574</v>
      </c>
      <c r="AY104" s="1044">
        <f t="shared" si="54"/>
        <v>12.591534476571217</v>
      </c>
      <c r="AZ104" s="1067">
        <f t="shared" si="52"/>
        <v>8.3943563177141449</v>
      </c>
      <c r="BB104" s="1055">
        <f t="shared" si="86"/>
        <v>317.92187119240492</v>
      </c>
      <c r="BC104" s="1056">
        <f t="shared" si="87"/>
        <v>170.02730382266151</v>
      </c>
      <c r="BD104" s="1082">
        <f t="shared" si="101"/>
        <v>8.3943563177141449</v>
      </c>
      <c r="BE104" s="1056">
        <f t="shared" si="60"/>
        <v>496.34353133278057</v>
      </c>
      <c r="BF104" s="167">
        <v>0</v>
      </c>
      <c r="BG104" s="1075">
        <f t="shared" si="88"/>
        <v>496.34353133278057</v>
      </c>
      <c r="BI104" s="1055">
        <f t="shared" si="89"/>
        <v>317.92187119240492</v>
      </c>
      <c r="BJ104" s="1056">
        <f t="shared" si="90"/>
        <v>170.02730382266151</v>
      </c>
      <c r="BK104" s="1082">
        <f t="shared" si="91"/>
        <v>8.3943563177141449</v>
      </c>
      <c r="BL104" s="1056">
        <f t="shared" si="61"/>
        <v>496.34353133278057</v>
      </c>
      <c r="BM104" s="167">
        <v>0</v>
      </c>
      <c r="BN104" s="1075">
        <f t="shared" si="92"/>
        <v>496.34353133278057</v>
      </c>
    </row>
    <row r="105" spans="1:66">
      <c r="A105" s="927">
        <f>'Input data'!A135</f>
        <v>2035</v>
      </c>
      <c r="B105" s="824">
        <f>'Input data'!B135</f>
        <v>68.818976000000006</v>
      </c>
      <c r="C105" s="824">
        <f>'Recycling - Case 1'!AK115/B105</f>
        <v>292.44487311696332</v>
      </c>
      <c r="D105" s="826">
        <f>'Recycling - Case 1'!AM115</f>
        <v>0.21131882072888153</v>
      </c>
      <c r="E105" s="826">
        <f>'Recycling - Case 1'!BE115</f>
        <v>0.18217942416048291</v>
      </c>
      <c r="F105" s="826">
        <f>'Recycling - Case 1'!BF115</f>
        <v>0.23105279604007339</v>
      </c>
      <c r="G105" s="826">
        <f>'Recycling - Case 1'!BG115</f>
        <v>7.5986301587686933E-2</v>
      </c>
      <c r="H105" s="826">
        <f>'Recycling - Case 1'!BH115</f>
        <v>0</v>
      </c>
      <c r="I105" s="826">
        <f>'Recycling - Case 1'!BI115</f>
        <v>0</v>
      </c>
      <c r="J105" s="826">
        <f>'Recycling - Case 1'!BJ115</f>
        <v>0</v>
      </c>
      <c r="K105" s="826">
        <f>'Recycling - Case 1'!BK115</f>
        <v>0.51078147821175679</v>
      </c>
      <c r="L105" s="827">
        <f t="shared" si="100"/>
        <v>1</v>
      </c>
      <c r="M105" s="104"/>
      <c r="N105" s="838">
        <f t="shared" si="57"/>
        <v>4252.9511730415979</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832">
        <f t="shared" si="62"/>
        <v>198.63170103126512</v>
      </c>
      <c r="R105" s="832">
        <f t="shared" si="63"/>
        <v>198.63170103126512</v>
      </c>
      <c r="S105" s="835">
        <f t="shared" si="64"/>
        <v>0</v>
      </c>
      <c r="T105" s="832">
        <f t="shared" si="65"/>
        <v>9245.0165323478232</v>
      </c>
      <c r="U105" s="832">
        <f t="shared" si="66"/>
        <v>463.8180685410332</v>
      </c>
      <c r="V105" s="839">
        <f t="shared" si="67"/>
        <v>309.21204569402215</v>
      </c>
      <c r="W105" s="1447"/>
      <c r="X105" s="1025">
        <f>'Recycling - Case 1'!AM155</f>
        <v>100.47665639401346</v>
      </c>
      <c r="Y105" s="1026">
        <f>Parameters!S206</f>
        <v>0.71500000000000008</v>
      </c>
      <c r="Z105" s="1027">
        <f t="shared" si="68"/>
        <v>0.4</v>
      </c>
      <c r="AA105" s="1028">
        <f t="shared" si="69"/>
        <v>14.368161864343927</v>
      </c>
      <c r="AB105" s="1028">
        <f t="shared" si="70"/>
        <v>14.368161864343927</v>
      </c>
      <c r="AC105" s="1029">
        <f t="shared" si="71"/>
        <v>0</v>
      </c>
      <c r="AD105" s="1028">
        <f t="shared" si="72"/>
        <v>4746.1269635038188</v>
      </c>
      <c r="AE105" s="1028">
        <f t="shared" si="73"/>
        <v>242.6024615469575</v>
      </c>
      <c r="AF105" s="1030">
        <f t="shared" si="74"/>
        <v>161.73497436463833</v>
      </c>
      <c r="AG105" s="104"/>
      <c r="AH105" s="1025">
        <f>'Recycling - Case 1'!AM195</f>
        <v>100.47665639401346</v>
      </c>
      <c r="AI105" s="1026">
        <f>Parameters!S206</f>
        <v>0.71500000000000008</v>
      </c>
      <c r="AJ105" s="1027">
        <f t="shared" si="75"/>
        <v>0.4</v>
      </c>
      <c r="AK105" s="1028">
        <f t="shared" si="76"/>
        <v>14.368161864343927</v>
      </c>
      <c r="AL105" s="1028">
        <f t="shared" si="77"/>
        <v>14.368161864343927</v>
      </c>
      <c r="AM105" s="1029">
        <f t="shared" si="78"/>
        <v>0</v>
      </c>
      <c r="AN105" s="1028">
        <f t="shared" si="79"/>
        <v>4746.1269635038188</v>
      </c>
      <c r="AO105" s="1028">
        <f t="shared" si="80"/>
        <v>242.6024615469575</v>
      </c>
      <c r="AP105" s="1030">
        <f t="shared" si="81"/>
        <v>161.73497436463833</v>
      </c>
      <c r="AQ105" s="104"/>
      <c r="AR105" s="1064">
        <f>'Recycling - Case 1'!G115</f>
        <v>699.21199957882664</v>
      </c>
      <c r="AS105" s="1065">
        <v>1</v>
      </c>
      <c r="AT105" s="1066">
        <f t="shared" si="82"/>
        <v>0.05</v>
      </c>
      <c r="AU105" s="1044">
        <f t="shared" si="83"/>
        <v>17.480299989470666</v>
      </c>
      <c r="AV105" s="1044">
        <f t="shared" si="84"/>
        <v>17.480299989470666</v>
      </c>
      <c r="AW105" s="1045">
        <f t="shared" si="85"/>
        <v>0</v>
      </c>
      <c r="AX105" s="1044">
        <f t="shared" si="51"/>
        <v>225.45545117513581</v>
      </c>
      <c r="AY105" s="1044">
        <f t="shared" si="54"/>
        <v>12.860465116570586</v>
      </c>
      <c r="AZ105" s="1067">
        <f t="shared" si="52"/>
        <v>8.5736434110470565</v>
      </c>
      <c r="BB105" s="1055">
        <f t="shared" si="86"/>
        <v>309.21204569402215</v>
      </c>
      <c r="BC105" s="1056">
        <f t="shared" si="87"/>
        <v>161.73497436463833</v>
      </c>
      <c r="BD105" s="1082">
        <f t="shared" si="101"/>
        <v>8.5736434110470565</v>
      </c>
      <c r="BE105" s="1056">
        <f t="shared" si="60"/>
        <v>479.52066346970753</v>
      </c>
      <c r="BF105" s="167">
        <v>0</v>
      </c>
      <c r="BG105" s="1075">
        <f t="shared" si="88"/>
        <v>479.52066346970753</v>
      </c>
      <c r="BI105" s="1055">
        <f t="shared" si="89"/>
        <v>309.21204569402215</v>
      </c>
      <c r="BJ105" s="1056">
        <f t="shared" si="90"/>
        <v>161.73497436463833</v>
      </c>
      <c r="BK105" s="1082">
        <f t="shared" si="91"/>
        <v>8.5736434110470565</v>
      </c>
      <c r="BL105" s="1056">
        <f t="shared" si="61"/>
        <v>479.52066346970753</v>
      </c>
      <c r="BM105" s="167">
        <v>0</v>
      </c>
      <c r="BN105" s="1075">
        <f t="shared" si="92"/>
        <v>479.52066346970753</v>
      </c>
    </row>
    <row r="106" spans="1:66">
      <c r="A106" s="927">
        <f>'Input data'!A136</f>
        <v>2036</v>
      </c>
      <c r="B106" s="824">
        <f>'Input data'!B136</f>
        <v>69.322810489383542</v>
      </c>
      <c r="C106" s="824">
        <f>'Recycling - Case 1'!AK116/B106</f>
        <v>286.03749237591961</v>
      </c>
      <c r="D106" s="826">
        <f>'Recycling - Case 1'!AM116</f>
        <v>0.20117775858184658</v>
      </c>
      <c r="E106" s="826">
        <f>'Recycling - Case 1'!BE116</f>
        <v>0.18271965574350774</v>
      </c>
      <c r="F106" s="826">
        <f>'Recycling - Case 1'!BF116</f>
        <v>0.23173795583977225</v>
      </c>
      <c r="G106" s="826">
        <f>'Recycling - Case 1'!BG116</f>
        <v>7.5827613666543003E-2</v>
      </c>
      <c r="H106" s="826">
        <f>'Recycling - Case 1'!BH116</f>
        <v>0</v>
      </c>
      <c r="I106" s="826">
        <f>'Recycling - Case 1'!BI116</f>
        <v>0</v>
      </c>
      <c r="J106" s="826">
        <f>'Recycling - Case 1'!BJ116</f>
        <v>0</v>
      </c>
      <c r="K106" s="826">
        <f>'Recycling - Case 1'!BK116</f>
        <v>0.5097147747501769</v>
      </c>
      <c r="L106" s="827">
        <f t="shared" si="100"/>
        <v>0.99999999999999989</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832">
        <f t="shared" si="62"/>
        <v>187.98894371760798</v>
      </c>
      <c r="R106" s="832">
        <f t="shared" si="63"/>
        <v>187.98894371760798</v>
      </c>
      <c r="S106" s="835">
        <f t="shared" si="64"/>
        <v>0</v>
      </c>
      <c r="T106" s="832">
        <f t="shared" si="65"/>
        <v>8982.1206992824136</v>
      </c>
      <c r="U106" s="832">
        <f t="shared" si="66"/>
        <v>450.8847767830166</v>
      </c>
      <c r="V106" s="839">
        <f t="shared" si="67"/>
        <v>300.58985118867776</v>
      </c>
      <c r="W106" s="1447"/>
      <c r="X106" s="1025">
        <f>'Recycling - Case 1'!AM156</f>
        <v>422.64953160476443</v>
      </c>
      <c r="Y106" s="1026">
        <f>Parameters!S207</f>
        <v>0.71500000000000008</v>
      </c>
      <c r="Z106" s="1027">
        <f t="shared" si="68"/>
        <v>0.4</v>
      </c>
      <c r="AA106" s="1028">
        <f t="shared" si="69"/>
        <v>60.438883019481324</v>
      </c>
      <c r="AB106" s="1028">
        <f t="shared" si="70"/>
        <v>60.438883019481324</v>
      </c>
      <c r="AC106" s="1029">
        <f t="shared" si="71"/>
        <v>0</v>
      </c>
      <c r="AD106" s="1028">
        <f t="shared" si="72"/>
        <v>4575.0945031205401</v>
      </c>
      <c r="AE106" s="1028">
        <f t="shared" si="73"/>
        <v>231.47134340275994</v>
      </c>
      <c r="AF106" s="1030">
        <f t="shared" si="74"/>
        <v>154.3142289351733</v>
      </c>
      <c r="AG106" s="104"/>
      <c r="AH106" s="1025">
        <f>'Recycling - Case 1'!AM196</f>
        <v>422.64953160476443</v>
      </c>
      <c r="AI106" s="1026">
        <f>Parameters!S207</f>
        <v>0.71500000000000008</v>
      </c>
      <c r="AJ106" s="1027">
        <f t="shared" si="75"/>
        <v>0.4</v>
      </c>
      <c r="AK106" s="1028">
        <f t="shared" si="76"/>
        <v>60.438883019481324</v>
      </c>
      <c r="AL106" s="1028">
        <f t="shared" si="77"/>
        <v>60.438883019481324</v>
      </c>
      <c r="AM106" s="1029">
        <f t="shared" si="78"/>
        <v>0</v>
      </c>
      <c r="AN106" s="1028">
        <f t="shared" si="79"/>
        <v>4575.0945031205401</v>
      </c>
      <c r="AO106" s="1028">
        <f t="shared" si="80"/>
        <v>231.47134340275994</v>
      </c>
      <c r="AP106" s="1030">
        <f t="shared" si="81"/>
        <v>154.3142289351733</v>
      </c>
      <c r="AQ106" s="104"/>
      <c r="AR106" s="1064">
        <f>'Recycling - Case 1'!G116</f>
        <v>709.32362801394981</v>
      </c>
      <c r="AS106" s="1065">
        <v>1</v>
      </c>
      <c r="AT106" s="1066">
        <f t="shared" si="82"/>
        <v>0.05</v>
      </c>
      <c r="AU106" s="1044">
        <f t="shared" si="83"/>
        <v>17.733090700348747</v>
      </c>
      <c r="AV106" s="1044">
        <f t="shared" si="84"/>
        <v>17.733090700348747</v>
      </c>
      <c r="AW106" s="1045">
        <f t="shared" si="85"/>
        <v>0</v>
      </c>
      <c r="AX106" s="1044">
        <f t="shared" si="51"/>
        <v>230.05903852032688</v>
      </c>
      <c r="AY106" s="1044">
        <f t="shared" si="54"/>
        <v>13.129503355157674</v>
      </c>
      <c r="AZ106" s="1067">
        <f t="shared" si="52"/>
        <v>8.753002236771783</v>
      </c>
      <c r="BB106" s="1055">
        <f t="shared" si="86"/>
        <v>300.58985118867776</v>
      </c>
      <c r="BC106" s="1056">
        <f t="shared" si="87"/>
        <v>154.3142289351733</v>
      </c>
      <c r="BD106" s="1082">
        <f t="shared" si="101"/>
        <v>8.753002236771783</v>
      </c>
      <c r="BE106" s="1056">
        <f t="shared" si="60"/>
        <v>463.65708236062284</v>
      </c>
      <c r="BF106" s="167">
        <v>0</v>
      </c>
      <c r="BG106" s="1075">
        <f t="shared" si="88"/>
        <v>463.65708236062284</v>
      </c>
      <c r="BI106" s="1055">
        <f t="shared" si="89"/>
        <v>300.58985118867776</v>
      </c>
      <c r="BJ106" s="1056">
        <f t="shared" si="90"/>
        <v>154.3142289351733</v>
      </c>
      <c r="BK106" s="1082">
        <f t="shared" si="91"/>
        <v>8.753002236771783</v>
      </c>
      <c r="BL106" s="1056">
        <f t="shared" si="61"/>
        <v>463.65708236062284</v>
      </c>
      <c r="BM106" s="167">
        <v>0</v>
      </c>
      <c r="BN106" s="1075">
        <f t="shared" si="92"/>
        <v>463.65708236062284</v>
      </c>
    </row>
    <row r="107" spans="1:66">
      <c r="A107" s="927">
        <f>'Input data'!A137</f>
        <v>2037</v>
      </c>
      <c r="B107" s="824">
        <f>'Input data'!B137</f>
        <v>69.830333629884052</v>
      </c>
      <c r="C107" s="824">
        <f>'Recycling - Case 1'!AK117/B107</f>
        <v>283.06754357735701</v>
      </c>
      <c r="D107" s="826">
        <f>'Recycling - Case 1'!AM117</f>
        <v>0.19732230568709686</v>
      </c>
      <c r="E107" s="826">
        <f>'Recycling - Case 1'!BE117</f>
        <v>0.18325373369670417</v>
      </c>
      <c r="F107" s="826">
        <f>'Recycling - Case 1'!BF117</f>
        <v>0.23241531117206654</v>
      </c>
      <c r="G107" s="826">
        <f>'Recycling - Case 1'!BG117</f>
        <v>7.5670733315995969E-2</v>
      </c>
      <c r="H107" s="826">
        <f>'Recycling - Case 1'!BH117</f>
        <v>0</v>
      </c>
      <c r="I107" s="826">
        <f>'Recycling - Case 1'!BI117</f>
        <v>0</v>
      </c>
      <c r="J107" s="826">
        <f>'Recycling - Case 1'!BJ117</f>
        <v>0</v>
      </c>
      <c r="K107" s="826">
        <f>'Recycling - Case 1'!BK117</f>
        <v>0.5086602218152334</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832">
        <f t="shared" si="62"/>
        <v>185.44973582347129</v>
      </c>
      <c r="R107" s="832">
        <f t="shared" si="63"/>
        <v>185.44973582347129</v>
      </c>
      <c r="S107" s="835">
        <f t="shared" si="64"/>
        <v>0</v>
      </c>
      <c r="T107" s="832">
        <f t="shared" si="65"/>
        <v>8729.5072393978317</v>
      </c>
      <c r="U107" s="832">
        <f t="shared" si="66"/>
        <v>438.06319570805238</v>
      </c>
      <c r="V107" s="839">
        <f t="shared" si="67"/>
        <v>292.0421304720349</v>
      </c>
      <c r="W107" s="1447"/>
      <c r="X107" s="1025">
        <f>'Recycling - Case 1'!AM157</f>
        <v>503.01212879855979</v>
      </c>
      <c r="Y107" s="1026">
        <f>Parameters!S208</f>
        <v>0.71500000000000008</v>
      </c>
      <c r="Z107" s="1027">
        <f t="shared" si="68"/>
        <v>0.4</v>
      </c>
      <c r="AA107" s="1028">
        <f t="shared" si="69"/>
        <v>71.930734418194064</v>
      </c>
      <c r="AB107" s="1028">
        <f t="shared" si="70"/>
        <v>71.930734418194064</v>
      </c>
      <c r="AC107" s="1029">
        <f t="shared" si="71"/>
        <v>0</v>
      </c>
      <c r="AD107" s="1028">
        <f t="shared" si="72"/>
        <v>4423.8952456579254</v>
      </c>
      <c r="AE107" s="1028">
        <f t="shared" si="73"/>
        <v>223.1299918808086</v>
      </c>
      <c r="AF107" s="1030">
        <f t="shared" si="74"/>
        <v>148.75332792053908</v>
      </c>
      <c r="AG107" s="104"/>
      <c r="AH107" s="1025">
        <f>'Recycling - Case 1'!AM197</f>
        <v>503.01212879855979</v>
      </c>
      <c r="AI107" s="1026">
        <f>Parameters!S208</f>
        <v>0.71500000000000008</v>
      </c>
      <c r="AJ107" s="1027">
        <f t="shared" si="75"/>
        <v>0.4</v>
      </c>
      <c r="AK107" s="1028">
        <f t="shared" si="76"/>
        <v>71.930734418194064</v>
      </c>
      <c r="AL107" s="1028">
        <f t="shared" si="77"/>
        <v>71.930734418194064</v>
      </c>
      <c r="AM107" s="1029">
        <f t="shared" si="78"/>
        <v>0</v>
      </c>
      <c r="AN107" s="1028">
        <f t="shared" si="79"/>
        <v>4423.8952456579254</v>
      </c>
      <c r="AO107" s="1028">
        <f t="shared" si="80"/>
        <v>223.1299918808086</v>
      </c>
      <c r="AP107" s="1030">
        <f t="shared" si="81"/>
        <v>148.75332792053908</v>
      </c>
      <c r="AQ107" s="104"/>
      <c r="AR107" s="1064">
        <f>'Recycling - Case 1'!G117</f>
        <v>719.54583678051574</v>
      </c>
      <c r="AS107" s="1065">
        <v>1</v>
      </c>
      <c r="AT107" s="1066">
        <f t="shared" si="82"/>
        <v>0.05</v>
      </c>
      <c r="AU107" s="1044">
        <f t="shared" si="83"/>
        <v>17.988645919512894</v>
      </c>
      <c r="AV107" s="1044">
        <f t="shared" si="84"/>
        <v>17.988645919512894</v>
      </c>
      <c r="AW107" s="1045">
        <f t="shared" si="85"/>
        <v>0</v>
      </c>
      <c r="AX107" s="1044">
        <f t="shared" si="51"/>
        <v>234.65008902844923</v>
      </c>
      <c r="AY107" s="1044">
        <f t="shared" si="54"/>
        <v>13.397595411390526</v>
      </c>
      <c r="AZ107" s="1067">
        <f t="shared" si="52"/>
        <v>8.9317302742603513</v>
      </c>
      <c r="BB107" s="1055">
        <f t="shared" si="86"/>
        <v>292.0421304720349</v>
      </c>
      <c r="BC107" s="1056">
        <f t="shared" si="87"/>
        <v>148.75332792053908</v>
      </c>
      <c r="BD107" s="1082">
        <f t="shared" si="101"/>
        <v>8.9317302742603513</v>
      </c>
      <c r="BE107" s="1056">
        <f t="shared" si="60"/>
        <v>449.72718866683437</v>
      </c>
      <c r="BF107" s="167">
        <v>0</v>
      </c>
      <c r="BG107" s="1075">
        <f t="shared" si="88"/>
        <v>449.72718866683437</v>
      </c>
      <c r="BI107" s="1055">
        <f t="shared" si="89"/>
        <v>292.0421304720349</v>
      </c>
      <c r="BJ107" s="1056">
        <f t="shared" si="90"/>
        <v>148.75332792053908</v>
      </c>
      <c r="BK107" s="1082">
        <f t="shared" si="91"/>
        <v>8.9317302742603513</v>
      </c>
      <c r="BL107" s="1056">
        <f t="shared" si="61"/>
        <v>449.72718866683437</v>
      </c>
      <c r="BM107" s="167">
        <v>0</v>
      </c>
      <c r="BN107" s="1075">
        <f t="shared" si="92"/>
        <v>449.72718866683437</v>
      </c>
    </row>
    <row r="108" spans="1:66">
      <c r="A108" s="927">
        <f>'Input data'!A138</f>
        <v>2038</v>
      </c>
      <c r="B108" s="824">
        <f>'Input data'!B138</f>
        <v>70.341572426693446</v>
      </c>
      <c r="C108" s="824">
        <f>'Recycling - Case 1'!AK118/B108</f>
        <v>278.64590360939866</v>
      </c>
      <c r="D108" s="826">
        <f>'Recycling - Case 1'!AM118</f>
        <v>0.19046816691183077</v>
      </c>
      <c r="E108" s="826">
        <f>'Recycling - Case 1'!BE118</f>
        <v>0.18378174859788676</v>
      </c>
      <c r="F108" s="826">
        <f>'Recycling - Case 1'!BF118</f>
        <v>0.2330849769141296</v>
      </c>
      <c r="G108" s="826">
        <f>'Recycling - Case 1'!BG118</f>
        <v>7.5515633929668854E-2</v>
      </c>
      <c r="H108" s="826">
        <f>'Recycling - Case 1'!BH118</f>
        <v>0</v>
      </c>
      <c r="I108" s="826">
        <f>'Recycling - Case 1'!BI118</f>
        <v>0</v>
      </c>
      <c r="J108" s="826">
        <f>'Recycling - Case 1'!BJ118</f>
        <v>0</v>
      </c>
      <c r="K108" s="826">
        <f>'Recycling - Case 1'!BK118</f>
        <v>0.50761764055831471</v>
      </c>
      <c r="L108" s="827">
        <f t="shared" si="100"/>
        <v>1</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832">
        <f t="shared" si="62"/>
        <v>179.07447128149684</v>
      </c>
      <c r="R108" s="832">
        <f t="shared" si="63"/>
        <v>179.07447128149684</v>
      </c>
      <c r="S108" s="835">
        <f t="shared" si="64"/>
        <v>0</v>
      </c>
      <c r="T108" s="832">
        <f t="shared" si="65"/>
        <v>8482.8386187887136</v>
      </c>
      <c r="U108" s="832">
        <f t="shared" si="66"/>
        <v>425.74309189061552</v>
      </c>
      <c r="V108" s="839">
        <f t="shared" si="67"/>
        <v>283.82872792707701</v>
      </c>
      <c r="W108" s="1447"/>
      <c r="X108" s="1025">
        <f>'Recycling - Case 1'!AM158</f>
        <v>570.35097333802878</v>
      </c>
      <c r="Y108" s="1026">
        <f>Parameters!S209</f>
        <v>0.71500000000000008</v>
      </c>
      <c r="Z108" s="1027">
        <f t="shared" si="68"/>
        <v>0.4</v>
      </c>
      <c r="AA108" s="1028">
        <f t="shared" si="69"/>
        <v>81.560189187338125</v>
      </c>
      <c r="AB108" s="1028">
        <f t="shared" si="70"/>
        <v>81.560189187338125</v>
      </c>
      <c r="AC108" s="1029">
        <f t="shared" si="71"/>
        <v>0</v>
      </c>
      <c r="AD108" s="1028">
        <f t="shared" si="72"/>
        <v>4289.6995177659719</v>
      </c>
      <c r="AE108" s="1028">
        <f t="shared" si="73"/>
        <v>215.75591707929217</v>
      </c>
      <c r="AF108" s="1030">
        <f t="shared" si="74"/>
        <v>143.83727805286145</v>
      </c>
      <c r="AG108" s="104"/>
      <c r="AH108" s="1025">
        <f>'Recycling - Case 1'!AM198</f>
        <v>570.35097333802878</v>
      </c>
      <c r="AI108" s="1026">
        <f>Parameters!S209</f>
        <v>0.71500000000000008</v>
      </c>
      <c r="AJ108" s="1027">
        <f t="shared" si="75"/>
        <v>0.4</v>
      </c>
      <c r="AK108" s="1028">
        <f t="shared" si="76"/>
        <v>81.560189187338125</v>
      </c>
      <c r="AL108" s="1028">
        <f t="shared" si="77"/>
        <v>81.560189187338125</v>
      </c>
      <c r="AM108" s="1029">
        <f t="shared" si="78"/>
        <v>0</v>
      </c>
      <c r="AN108" s="1028">
        <f t="shared" si="79"/>
        <v>4289.6995177659719</v>
      </c>
      <c r="AO108" s="1028">
        <f t="shared" si="80"/>
        <v>215.75591707929217</v>
      </c>
      <c r="AP108" s="1030">
        <f t="shared" si="81"/>
        <v>143.83727805286145</v>
      </c>
      <c r="AQ108" s="104"/>
      <c r="AR108" s="1064">
        <f>'Recycling - Case 1'!G118</f>
        <v>729.87970305381032</v>
      </c>
      <c r="AS108" s="1065">
        <v>1</v>
      </c>
      <c r="AT108" s="1066">
        <f t="shared" si="82"/>
        <v>0.05</v>
      </c>
      <c r="AU108" s="1044">
        <f t="shared" si="83"/>
        <v>18.24699257634526</v>
      </c>
      <c r="AV108" s="1044">
        <f t="shared" si="84"/>
        <v>18.24699257634526</v>
      </c>
      <c r="AW108" s="1045">
        <f t="shared" si="85"/>
        <v>0</v>
      </c>
      <c r="AX108" s="1044">
        <f t="shared" si="51"/>
        <v>239.23212422572519</v>
      </c>
      <c r="AY108" s="1044">
        <f t="shared" si="54"/>
        <v>13.664957379069303</v>
      </c>
      <c r="AZ108" s="1067">
        <f t="shared" si="52"/>
        <v>9.1099715860462016</v>
      </c>
      <c r="BB108" s="1055">
        <f t="shared" si="86"/>
        <v>283.82872792707701</v>
      </c>
      <c r="BC108" s="1056">
        <f t="shared" si="87"/>
        <v>143.83727805286145</v>
      </c>
      <c r="BD108" s="1082">
        <f t="shared" si="101"/>
        <v>9.1099715860462016</v>
      </c>
      <c r="BE108" s="1056">
        <f t="shared" si="60"/>
        <v>436.77597756598465</v>
      </c>
      <c r="BF108" s="167">
        <v>0</v>
      </c>
      <c r="BG108" s="1075">
        <f t="shared" si="88"/>
        <v>436.77597756598465</v>
      </c>
      <c r="BI108" s="1055">
        <f t="shared" si="89"/>
        <v>283.82872792707701</v>
      </c>
      <c r="BJ108" s="1056">
        <f t="shared" si="90"/>
        <v>143.83727805286145</v>
      </c>
      <c r="BK108" s="1082">
        <f t="shared" si="91"/>
        <v>9.1099715860462016</v>
      </c>
      <c r="BL108" s="1056">
        <f t="shared" si="61"/>
        <v>436.77597756598465</v>
      </c>
      <c r="BM108" s="167">
        <v>0</v>
      </c>
      <c r="BN108" s="1075">
        <f t="shared" si="92"/>
        <v>436.77597756598465</v>
      </c>
    </row>
    <row r="109" spans="1:66">
      <c r="A109" s="927">
        <f>'Input data'!A139</f>
        <v>2039</v>
      </c>
      <c r="B109" s="824">
        <f>'Input data'!B139</f>
        <v>70.856554082712819</v>
      </c>
      <c r="C109" s="824">
        <f>'Recycling - Case 1'!AK119/B109</f>
        <v>274.28336017466643</v>
      </c>
      <c r="D109" s="826">
        <f>'Recycling - Case 1'!AM119</f>
        <v>0.18349017699734635</v>
      </c>
      <c r="E109" s="826">
        <f>'Recycling - Case 1'!BE119</f>
        <v>0.18430378929892163</v>
      </c>
      <c r="F109" s="826">
        <f>'Recycling - Case 1'!BF119</f>
        <v>0.23374706575416554</v>
      </c>
      <c r="G109" s="826">
        <f>'Recycling - Case 1'!BG119</f>
        <v>7.5362289408165917E-2</v>
      </c>
      <c r="H109" s="826">
        <f>'Recycling - Case 1'!BH119</f>
        <v>0</v>
      </c>
      <c r="I109" s="826">
        <f>'Recycling - Case 1'!BI119</f>
        <v>0</v>
      </c>
      <c r="J109" s="826">
        <f>'Recycling - Case 1'!BJ119</f>
        <v>0</v>
      </c>
      <c r="K109" s="826">
        <f>'Recycling - Case 1'!BK119</f>
        <v>0.50658685553874683</v>
      </c>
      <c r="L109" s="827">
        <f t="shared" si="100"/>
        <v>0.99999999999999989</v>
      </c>
      <c r="M109" s="104"/>
      <c r="N109" s="838">
        <f t="shared" si="57"/>
        <v>3566.0900742274548</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832">
        <f t="shared" si="62"/>
        <v>172.55919370510694</v>
      </c>
      <c r="R109" s="832">
        <f t="shared" si="63"/>
        <v>172.55919370510694</v>
      </c>
      <c r="S109" s="835">
        <f t="shared" si="64"/>
        <v>0</v>
      </c>
      <c r="T109" s="832">
        <f t="shared" si="65"/>
        <v>8241.6848911879279</v>
      </c>
      <c r="U109" s="832">
        <f t="shared" si="66"/>
        <v>413.71292130589381</v>
      </c>
      <c r="V109" s="839">
        <f t="shared" si="67"/>
        <v>275.80861420392921</v>
      </c>
      <c r="W109" s="1447"/>
      <c r="X109" s="1025">
        <f>'Recycling - Case 1'!AM159</f>
        <v>640.39816424627156</v>
      </c>
      <c r="Y109" s="1026">
        <f>Parameters!S210</f>
        <v>0.71500000000000008</v>
      </c>
      <c r="Z109" s="1027">
        <f t="shared" si="68"/>
        <v>0.4</v>
      </c>
      <c r="AA109" s="1028">
        <f t="shared" si="69"/>
        <v>91.576937487216853</v>
      </c>
      <c r="AB109" s="1028">
        <f t="shared" si="70"/>
        <v>91.576937487216853</v>
      </c>
      <c r="AC109" s="1029">
        <f t="shared" si="71"/>
        <v>0</v>
      </c>
      <c r="AD109" s="1028">
        <f t="shared" si="72"/>
        <v>4172.0653410527329</v>
      </c>
      <c r="AE109" s="1028">
        <f t="shared" si="73"/>
        <v>209.21111420045602</v>
      </c>
      <c r="AF109" s="1030">
        <f t="shared" si="74"/>
        <v>139.47407613363734</v>
      </c>
      <c r="AG109" s="104"/>
      <c r="AH109" s="1025">
        <f>'Recycling - Case 1'!AM199</f>
        <v>640.39816424627156</v>
      </c>
      <c r="AI109" s="1026">
        <f>Parameters!S210</f>
        <v>0.71500000000000008</v>
      </c>
      <c r="AJ109" s="1027">
        <f t="shared" si="75"/>
        <v>0.4</v>
      </c>
      <c r="AK109" s="1028">
        <f t="shared" si="76"/>
        <v>91.576937487216853</v>
      </c>
      <c r="AL109" s="1028">
        <f t="shared" si="77"/>
        <v>91.576937487216853</v>
      </c>
      <c r="AM109" s="1029">
        <f t="shared" si="78"/>
        <v>0</v>
      </c>
      <c r="AN109" s="1028">
        <f t="shared" si="79"/>
        <v>4172.0653410527329</v>
      </c>
      <c r="AO109" s="1028">
        <f t="shared" si="80"/>
        <v>209.21111420045602</v>
      </c>
      <c r="AP109" s="1030">
        <f t="shared" si="81"/>
        <v>139.47407613363734</v>
      </c>
      <c r="AQ109" s="104"/>
      <c r="AR109" s="1064">
        <f>'Recycling - Case 1'!G119</f>
        <v>740.32631385442471</v>
      </c>
      <c r="AS109" s="1065">
        <v>1</v>
      </c>
      <c r="AT109" s="1066">
        <f t="shared" si="82"/>
        <v>0.05</v>
      </c>
      <c r="AU109" s="1044">
        <f t="shared" si="83"/>
        <v>18.508157846360618</v>
      </c>
      <c r="AV109" s="1044">
        <f t="shared" si="84"/>
        <v>18.508157846360618</v>
      </c>
      <c r="AW109" s="1045">
        <f t="shared" si="85"/>
        <v>0</v>
      </c>
      <c r="AX109" s="1044">
        <f t="shared" si="51"/>
        <v>243.80848773616975</v>
      </c>
      <c r="AY109" s="1044">
        <f t="shared" si="54"/>
        <v>13.931794335916058</v>
      </c>
      <c r="AZ109" s="1067">
        <f t="shared" si="52"/>
        <v>9.2878628906107057</v>
      </c>
      <c r="BB109" s="1055">
        <f t="shared" si="86"/>
        <v>275.80861420392921</v>
      </c>
      <c r="BC109" s="1056">
        <f t="shared" si="87"/>
        <v>139.47407613363734</v>
      </c>
      <c r="BD109" s="1082">
        <f t="shared" si="101"/>
        <v>9.2878628906107057</v>
      </c>
      <c r="BE109" s="1056">
        <f t="shared" si="60"/>
        <v>424.57055322817729</v>
      </c>
      <c r="BF109" s="167">
        <v>0</v>
      </c>
      <c r="BG109" s="1075">
        <f t="shared" si="88"/>
        <v>424.57055322817729</v>
      </c>
      <c r="BI109" s="1055">
        <f t="shared" si="89"/>
        <v>275.80861420392921</v>
      </c>
      <c r="BJ109" s="1056">
        <f t="shared" si="90"/>
        <v>139.47407613363734</v>
      </c>
      <c r="BK109" s="1082">
        <f t="shared" si="91"/>
        <v>9.2878628906107057</v>
      </c>
      <c r="BL109" s="1056">
        <f t="shared" si="61"/>
        <v>424.57055322817729</v>
      </c>
      <c r="BM109" s="167">
        <v>0</v>
      </c>
      <c r="BN109" s="1075">
        <f t="shared" si="92"/>
        <v>424.57055322817729</v>
      </c>
    </row>
    <row r="110" spans="1:66">
      <c r="A110" s="927">
        <f>'Input data'!A140</f>
        <v>2040</v>
      </c>
      <c r="B110" s="824">
        <f>'Input data'!B140</f>
        <v>71.375305999999995</v>
      </c>
      <c r="C110" s="824">
        <f>'Recycling - Case 1'!AK120/B110</f>
        <v>269.97920138349122</v>
      </c>
      <c r="D110" s="826">
        <f>'Recycling - Case 1'!AM120</f>
        <v>0.17638590518074596</v>
      </c>
      <c r="E110" s="826">
        <f>'Recycling - Case 1'!BE120</f>
        <v>0.18481994296669221</v>
      </c>
      <c r="F110" s="826">
        <f>'Recycling - Case 1'!BF120</f>
        <v>0.23440168824336427</v>
      </c>
      <c r="G110" s="826">
        <f>'Recycling - Case 1'!BG120</f>
        <v>7.5210674147039053E-2</v>
      </c>
      <c r="H110" s="826">
        <f>'Recycling - Case 1'!BH120</f>
        <v>0</v>
      </c>
      <c r="I110" s="826">
        <f>'Recycling - Case 1'!BI120</f>
        <v>0</v>
      </c>
      <c r="J110" s="826">
        <f>'Recycling - Case 1'!BJ120</f>
        <v>0</v>
      </c>
      <c r="K110" s="826">
        <f>'Recycling - Case 1'!BK120</f>
        <v>0.50556769464290463</v>
      </c>
      <c r="L110" s="827">
        <f t="shared" si="100"/>
        <v>1.0000000000000002</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832">
        <f t="shared" si="62"/>
        <v>165.90376916125425</v>
      </c>
      <c r="R110" s="832">
        <f t="shared" si="63"/>
        <v>165.90376916125425</v>
      </c>
      <c r="S110" s="835">
        <f t="shared" si="64"/>
        <v>0</v>
      </c>
      <c r="T110" s="832">
        <f t="shared" si="65"/>
        <v>8005.6369451221763</v>
      </c>
      <c r="U110" s="832">
        <f t="shared" si="66"/>
        <v>401.95171522700542</v>
      </c>
      <c r="V110" s="839">
        <f t="shared" si="67"/>
        <v>267.96781015133695</v>
      </c>
      <c r="W110" s="1447"/>
      <c r="X110" s="1025">
        <f>'Recycling - Case 1'!AM160</f>
        <v>713.03118047982548</v>
      </c>
      <c r="Y110" s="1026">
        <f>Parameters!S211</f>
        <v>0.71500000000000008</v>
      </c>
      <c r="Z110" s="1027">
        <f t="shared" si="68"/>
        <v>0.4</v>
      </c>
      <c r="AA110" s="1028">
        <f t="shared" si="69"/>
        <v>101.96345880861506</v>
      </c>
      <c r="AB110" s="1028">
        <f t="shared" si="70"/>
        <v>101.96345880861506</v>
      </c>
      <c r="AC110" s="1029">
        <f t="shared" si="71"/>
        <v>0</v>
      </c>
      <c r="AD110" s="1028">
        <f t="shared" si="72"/>
        <v>4070.5547721575813</v>
      </c>
      <c r="AE110" s="1028">
        <f t="shared" si="73"/>
        <v>203.47402770376664</v>
      </c>
      <c r="AF110" s="1030">
        <f t="shared" si="74"/>
        <v>135.64935180251109</v>
      </c>
      <c r="AG110" s="104"/>
      <c r="AH110" s="1025">
        <f>'Recycling - Case 1'!AM200</f>
        <v>713.03118047982548</v>
      </c>
      <c r="AI110" s="1026">
        <f>Parameters!S211</f>
        <v>0.71500000000000008</v>
      </c>
      <c r="AJ110" s="1027">
        <f t="shared" si="75"/>
        <v>0.4</v>
      </c>
      <c r="AK110" s="1028">
        <f t="shared" si="76"/>
        <v>101.96345880861506</v>
      </c>
      <c r="AL110" s="1028">
        <f t="shared" si="77"/>
        <v>101.96345880861506</v>
      </c>
      <c r="AM110" s="1029">
        <f t="shared" si="78"/>
        <v>0</v>
      </c>
      <c r="AN110" s="1028">
        <f t="shared" si="79"/>
        <v>4070.5547721575813</v>
      </c>
      <c r="AO110" s="1028">
        <f t="shared" si="80"/>
        <v>203.47402770376664</v>
      </c>
      <c r="AP110" s="1030">
        <f t="shared" si="81"/>
        <v>135.64935180251109</v>
      </c>
      <c r="AQ110" s="104"/>
      <c r="AR110" s="1064">
        <f>'Recycling - Case 1'!G120</f>
        <v>750.88676613467851</v>
      </c>
      <c r="AS110" s="1065">
        <v>1</v>
      </c>
      <c r="AT110" s="1066">
        <f t="shared" si="82"/>
        <v>0.05</v>
      </c>
      <c r="AU110" s="1044">
        <f t="shared" si="83"/>
        <v>18.772169153366963</v>
      </c>
      <c r="AV110" s="1044">
        <f t="shared" si="84"/>
        <v>18.772169153366963</v>
      </c>
      <c r="AW110" s="1045">
        <f t="shared" si="85"/>
        <v>0</v>
      </c>
      <c r="AX110" s="1044">
        <f t="shared" si="51"/>
        <v>248.38235589010191</v>
      </c>
      <c r="AY110" s="1044">
        <f t="shared" si="54"/>
        <v>14.198300999434821</v>
      </c>
      <c r="AZ110" s="1067">
        <f t="shared" si="52"/>
        <v>9.4655339996232133</v>
      </c>
      <c r="BB110" s="1055">
        <f t="shared" si="86"/>
        <v>267.96781015133695</v>
      </c>
      <c r="BC110" s="1056">
        <f t="shared" si="87"/>
        <v>135.64935180251109</v>
      </c>
      <c r="BD110" s="1082">
        <f t="shared" si="101"/>
        <v>9.4655339996232133</v>
      </c>
      <c r="BE110" s="1056">
        <f t="shared" si="60"/>
        <v>413.08269595347127</v>
      </c>
      <c r="BF110" s="167">
        <v>0</v>
      </c>
      <c r="BG110" s="1075">
        <f t="shared" si="88"/>
        <v>413.08269595347127</v>
      </c>
      <c r="BI110" s="1055">
        <f t="shared" si="89"/>
        <v>267.96781015133695</v>
      </c>
      <c r="BJ110" s="1056">
        <f t="shared" si="90"/>
        <v>135.64935180251109</v>
      </c>
      <c r="BK110" s="1082">
        <f t="shared" si="91"/>
        <v>9.4655339996232133</v>
      </c>
      <c r="BL110" s="1056">
        <f t="shared" si="61"/>
        <v>413.08269595347127</v>
      </c>
      <c r="BM110" s="167">
        <v>0</v>
      </c>
      <c r="BN110" s="1075">
        <f t="shared" si="92"/>
        <v>413.08269595347127</v>
      </c>
    </row>
    <row r="111" spans="1:66">
      <c r="A111" s="927">
        <f>'Input data'!A141</f>
        <v>2041</v>
      </c>
      <c r="B111" s="824">
        <f>'Input data'!B141</f>
        <v>71.818612994947316</v>
      </c>
      <c r="C111" s="824">
        <f>'Recycling - Case 1'!AK121/B111</f>
        <v>265.90210513653562</v>
      </c>
      <c r="D111" s="826">
        <f>'Recycling - Case 1'!AM121</f>
        <v>0.16923163060959834</v>
      </c>
      <c r="E111" s="826">
        <f>'Recycling - Case 1'!BE121</f>
        <v>0.18525351002095683</v>
      </c>
      <c r="F111" s="826">
        <f>'Recycling - Case 1'!BF121</f>
        <v>0.23495156856393473</v>
      </c>
      <c r="G111" s="826">
        <f>'Recycling - Case 1'!BG121</f>
        <v>7.5083317923005433E-2</v>
      </c>
      <c r="H111" s="826">
        <f>'Recycling - Case 1'!BH121</f>
        <v>0</v>
      </c>
      <c r="I111" s="826">
        <f>'Recycling - Case 1'!BI121</f>
        <v>0</v>
      </c>
      <c r="J111" s="826">
        <f>'Recycling - Case 1'!BJ121</f>
        <v>0</v>
      </c>
      <c r="K111" s="826">
        <f>'Recycling - Case 1'!BK121</f>
        <v>0.50471160349210298</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832">
        <f t="shared" si="62"/>
        <v>159.07471954791859</v>
      </c>
      <c r="R111" s="832">
        <f t="shared" si="63"/>
        <v>159.07471954791859</v>
      </c>
      <c r="S111" s="835">
        <f t="shared" si="64"/>
        <v>0</v>
      </c>
      <c r="T111" s="832">
        <f t="shared" si="65"/>
        <v>7774.2721436181409</v>
      </c>
      <c r="U111" s="832">
        <f t="shared" si="66"/>
        <v>390.43952105195433</v>
      </c>
      <c r="V111" s="839">
        <f t="shared" si="67"/>
        <v>260.2930140346362</v>
      </c>
      <c r="W111" s="1447"/>
      <c r="X111" s="1025">
        <f>'Recycling - Case 1'!AM161</f>
        <v>755.85846924295208</v>
      </c>
      <c r="Y111" s="1026">
        <f>Parameters!S212</f>
        <v>0.71500000000000008</v>
      </c>
      <c r="Z111" s="1027">
        <f t="shared" si="68"/>
        <v>0.4</v>
      </c>
      <c r="AA111" s="1028">
        <f t="shared" si="69"/>
        <v>108.08776110174216</v>
      </c>
      <c r="AB111" s="1028">
        <f t="shared" si="70"/>
        <v>108.08776110174216</v>
      </c>
      <c r="AC111" s="1029">
        <f t="shared" si="71"/>
        <v>0</v>
      </c>
      <c r="AD111" s="1028">
        <f t="shared" si="72"/>
        <v>3980.1192344198334</v>
      </c>
      <c r="AE111" s="1028">
        <f t="shared" si="73"/>
        <v>198.52329883949017</v>
      </c>
      <c r="AF111" s="1030">
        <f t="shared" si="74"/>
        <v>132.34886589299344</v>
      </c>
      <c r="AG111" s="104"/>
      <c r="AH111" s="1025">
        <f>'Recycling - Case 1'!AM201</f>
        <v>755.85846924295208</v>
      </c>
      <c r="AI111" s="1026">
        <f>Parameters!S212</f>
        <v>0.71500000000000008</v>
      </c>
      <c r="AJ111" s="1027">
        <f t="shared" si="75"/>
        <v>0.4</v>
      </c>
      <c r="AK111" s="1028">
        <f t="shared" si="76"/>
        <v>108.08776110174216</v>
      </c>
      <c r="AL111" s="1028">
        <f t="shared" si="77"/>
        <v>108.08776110174216</v>
      </c>
      <c r="AM111" s="1029">
        <f t="shared" si="78"/>
        <v>0</v>
      </c>
      <c r="AN111" s="1028">
        <f t="shared" si="79"/>
        <v>3980.1192344198334</v>
      </c>
      <c r="AO111" s="1028">
        <f t="shared" si="80"/>
        <v>198.52329883949017</v>
      </c>
      <c r="AP111" s="1030">
        <f t="shared" si="81"/>
        <v>132.34886589299344</v>
      </c>
      <c r="AQ111" s="104"/>
      <c r="AR111" s="1064">
        <f>'Recycling - Case 1'!G121</f>
        <v>760.72280514389797</v>
      </c>
      <c r="AS111" s="1065">
        <v>1</v>
      </c>
      <c r="AT111" s="1066">
        <f t="shared" si="82"/>
        <v>0.05</v>
      </c>
      <c r="AU111" s="1044">
        <f t="shared" si="83"/>
        <v>19.018070128597451</v>
      </c>
      <c r="AV111" s="1044">
        <f t="shared" si="84"/>
        <v>19.018070128597451</v>
      </c>
      <c r="AW111" s="1045">
        <f t="shared" si="85"/>
        <v>0</v>
      </c>
      <c r="AX111" s="1044">
        <f t="shared" si="51"/>
        <v>252.93576367399615</v>
      </c>
      <c r="AY111" s="1044">
        <f t="shared" si="54"/>
        <v>14.464662344703212</v>
      </c>
      <c r="AZ111" s="1067">
        <f t="shared" si="52"/>
        <v>9.6431082298021416</v>
      </c>
      <c r="BB111" s="1055">
        <f t="shared" si="86"/>
        <v>260.2930140346362</v>
      </c>
      <c r="BC111" s="1056">
        <f t="shared" si="87"/>
        <v>132.34886589299344</v>
      </c>
      <c r="BD111" s="1082">
        <f t="shared" si="101"/>
        <v>9.6431082298021416</v>
      </c>
      <c r="BE111" s="1056">
        <f t="shared" si="60"/>
        <v>402.28498815743177</v>
      </c>
      <c r="BF111" s="167">
        <v>0</v>
      </c>
      <c r="BG111" s="1075">
        <f t="shared" si="88"/>
        <v>402.28498815743177</v>
      </c>
      <c r="BI111" s="1055">
        <f t="shared" si="89"/>
        <v>260.2930140346362</v>
      </c>
      <c r="BJ111" s="1056">
        <f t="shared" si="90"/>
        <v>132.34886589299344</v>
      </c>
      <c r="BK111" s="1082">
        <f t="shared" si="91"/>
        <v>9.6431082298021416</v>
      </c>
      <c r="BL111" s="1056">
        <f t="shared" si="61"/>
        <v>402.28498815743177</v>
      </c>
      <c r="BM111" s="167">
        <v>0</v>
      </c>
      <c r="BN111" s="1075">
        <f t="shared" si="92"/>
        <v>402.28498815743177</v>
      </c>
    </row>
    <row r="112" spans="1:66">
      <c r="A112" s="927">
        <f>'Input data'!A142</f>
        <v>2042</v>
      </c>
      <c r="B112" s="824">
        <f>'Input data'!B142</f>
        <v>72.264673338395411</v>
      </c>
      <c r="C112" s="824">
        <f>'Recycling - Case 1'!AK122/B112</f>
        <v>261.87232410803506</v>
      </c>
      <c r="D112" s="826">
        <f>'Recycling - Case 1'!AM122</f>
        <v>0.16194195493472113</v>
      </c>
      <c r="E112" s="826">
        <f>'Recycling - Case 1'!BE122</f>
        <v>0.18568294851289546</v>
      </c>
      <c r="F112" s="826">
        <f>'Recycling - Case 1'!BF122</f>
        <v>0.23549621275054844</v>
      </c>
      <c r="G112" s="826">
        <f>'Recycling - Case 1'!BG122</f>
        <v>7.4957174425131154E-2</v>
      </c>
      <c r="H112" s="826">
        <f>'Recycling - Case 1'!BH122</f>
        <v>0</v>
      </c>
      <c r="I112" s="826">
        <f>'Recycling - Case 1'!BI122</f>
        <v>0</v>
      </c>
      <c r="J112" s="826">
        <f>'Recycling - Case 1'!BJ122</f>
        <v>0</v>
      </c>
      <c r="K112" s="826">
        <f>'Recycling - Case 1'!BK122</f>
        <v>0.50386366431142482</v>
      </c>
      <c r="L112" s="827">
        <f t="shared" si="100"/>
        <v>0.99999999999999989</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832">
        <f t="shared" si="62"/>
        <v>152.10892194532315</v>
      </c>
      <c r="R112" s="832">
        <f t="shared" si="63"/>
        <v>152.10892194532315</v>
      </c>
      <c r="S112" s="835">
        <f t="shared" si="64"/>
        <v>0</v>
      </c>
      <c r="T112" s="832">
        <f t="shared" si="65"/>
        <v>7547.2253390311398</v>
      </c>
      <c r="U112" s="832">
        <f t="shared" si="66"/>
        <v>379.15572653232442</v>
      </c>
      <c r="V112" s="839">
        <f t="shared" si="67"/>
        <v>252.77048435488294</v>
      </c>
      <c r="W112" s="1447"/>
      <c r="X112" s="1025">
        <f>'Recycling - Case 1'!AM162</f>
        <v>802.35617184501996</v>
      </c>
      <c r="Y112" s="1026">
        <f>Parameters!S213</f>
        <v>0.71500000000000008</v>
      </c>
      <c r="Z112" s="1027">
        <f t="shared" si="68"/>
        <v>0.4</v>
      </c>
      <c r="AA112" s="1028">
        <f t="shared" si="69"/>
        <v>114.73693257383788</v>
      </c>
      <c r="AB112" s="1028">
        <f t="shared" si="70"/>
        <v>114.73693257383788</v>
      </c>
      <c r="AC112" s="1029">
        <f t="shared" si="71"/>
        <v>0</v>
      </c>
      <c r="AD112" s="1028">
        <f t="shared" si="72"/>
        <v>3900.7434613752384</v>
      </c>
      <c r="AE112" s="1028">
        <f t="shared" si="73"/>
        <v>194.11270561843281</v>
      </c>
      <c r="AF112" s="1030">
        <f t="shared" si="74"/>
        <v>129.40847041228855</v>
      </c>
      <c r="AG112" s="104"/>
      <c r="AH112" s="1025">
        <f>'Recycling - Case 1'!AM202</f>
        <v>802.35617184501996</v>
      </c>
      <c r="AI112" s="1026">
        <f>Parameters!S213</f>
        <v>0.71500000000000008</v>
      </c>
      <c r="AJ112" s="1027">
        <f t="shared" si="75"/>
        <v>0.4</v>
      </c>
      <c r="AK112" s="1028">
        <f t="shared" si="76"/>
        <v>114.73693257383788</v>
      </c>
      <c r="AL112" s="1028">
        <f t="shared" si="77"/>
        <v>114.73693257383788</v>
      </c>
      <c r="AM112" s="1029">
        <f t="shared" si="78"/>
        <v>0</v>
      </c>
      <c r="AN112" s="1028">
        <f t="shared" si="79"/>
        <v>3900.7434613752384</v>
      </c>
      <c r="AO112" s="1028">
        <f t="shared" si="80"/>
        <v>194.11270561843281</v>
      </c>
      <c r="AP112" s="1030">
        <f t="shared" si="81"/>
        <v>129.40847041228855</v>
      </c>
      <c r="AQ112" s="104"/>
      <c r="AR112" s="1064">
        <f>'Recycling - Case 1'!G122</f>
        <v>770.6520601014862</v>
      </c>
      <c r="AS112" s="1065">
        <v>1</v>
      </c>
      <c r="AT112" s="1066">
        <f t="shared" si="82"/>
        <v>0.05</v>
      </c>
      <c r="AU112" s="1044">
        <f t="shared" si="83"/>
        <v>19.266301502537157</v>
      </c>
      <c r="AV112" s="1044">
        <f t="shared" si="84"/>
        <v>19.266301502537157</v>
      </c>
      <c r="AW112" s="1045">
        <f t="shared" si="85"/>
        <v>0</v>
      </c>
      <c r="AX112" s="1044">
        <f t="shared" si="51"/>
        <v>257.47223300575388</v>
      </c>
      <c r="AY112" s="1044">
        <f t="shared" si="54"/>
        <v>14.729832170779405</v>
      </c>
      <c r="AZ112" s="1067">
        <f t="shared" si="52"/>
        <v>9.8198881138529366</v>
      </c>
      <c r="BB112" s="1055">
        <f t="shared" si="86"/>
        <v>252.77048435488294</v>
      </c>
      <c r="BC112" s="1056">
        <f t="shared" si="87"/>
        <v>129.40847041228855</v>
      </c>
      <c r="BD112" s="1082">
        <f t="shared" si="101"/>
        <v>9.8198881138529366</v>
      </c>
      <c r="BE112" s="1056">
        <f t="shared" si="60"/>
        <v>391.99884288102442</v>
      </c>
      <c r="BF112" s="167">
        <v>0</v>
      </c>
      <c r="BG112" s="1075">
        <f t="shared" si="88"/>
        <v>391.99884288102442</v>
      </c>
      <c r="BI112" s="1055">
        <f t="shared" si="89"/>
        <v>252.77048435488294</v>
      </c>
      <c r="BJ112" s="1056">
        <f t="shared" si="90"/>
        <v>129.40847041228855</v>
      </c>
      <c r="BK112" s="1082">
        <f t="shared" si="91"/>
        <v>9.8198881138529366</v>
      </c>
      <c r="BL112" s="1056">
        <f t="shared" si="61"/>
        <v>391.99884288102442</v>
      </c>
      <c r="BM112" s="167">
        <v>0</v>
      </c>
      <c r="BN112" s="1075">
        <f t="shared" si="92"/>
        <v>391.99884288102442</v>
      </c>
    </row>
    <row r="113" spans="1:66">
      <c r="A113" s="927">
        <f>'Input data'!A143</f>
        <v>2043</v>
      </c>
      <c r="B113" s="824">
        <f>'Input data'!B143</f>
        <v>72.713504131197794</v>
      </c>
      <c r="C113" s="824">
        <f>'Recycling - Case 1'!AK123/B113</f>
        <v>257.8893723283731</v>
      </c>
      <c r="D113" s="826">
        <f>'Recycling - Case 1'!AM123</f>
        <v>0.15451375927904881</v>
      </c>
      <c r="E113" s="826">
        <f>'Recycling - Case 1'!BE123</f>
        <v>0.1861083090182826</v>
      </c>
      <c r="F113" s="826">
        <f>'Recycling - Case 1'!BF123</f>
        <v>0.2360356849469703</v>
      </c>
      <c r="G113" s="826">
        <f>'Recycling - Case 1'!BG123</f>
        <v>7.4832228797260453E-2</v>
      </c>
      <c r="H113" s="826">
        <f>'Recycling - Case 1'!BH123</f>
        <v>0</v>
      </c>
      <c r="I113" s="826">
        <f>'Recycling - Case 1'!BI123</f>
        <v>0</v>
      </c>
      <c r="J113" s="826">
        <f>'Recycling - Case 1'!BJ123</f>
        <v>0</v>
      </c>
      <c r="K113" s="826">
        <f>'Recycling - Case 1'!BK123</f>
        <v>0.50302377723748637</v>
      </c>
      <c r="L113" s="827">
        <f t="shared" si="100"/>
        <v>0.99999999999999978</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832">
        <f t="shared" si="62"/>
        <v>145.00622193228531</v>
      </c>
      <c r="R113" s="832">
        <f t="shared" si="63"/>
        <v>145.00622193228531</v>
      </c>
      <c r="S113" s="835">
        <f t="shared" si="64"/>
        <v>0</v>
      </c>
      <c r="T113" s="832">
        <f t="shared" si="65"/>
        <v>7324.1490377560831</v>
      </c>
      <c r="U113" s="832">
        <f t="shared" si="66"/>
        <v>368.08252320734249</v>
      </c>
      <c r="V113" s="839">
        <f t="shared" si="67"/>
        <v>245.388348804895</v>
      </c>
      <c r="W113" s="1447"/>
      <c r="X113" s="1025">
        <f>'Recycling - Case 1'!AM163</f>
        <v>852.87833217047034</v>
      </c>
      <c r="Y113" s="1026">
        <f>Parameters!S214</f>
        <v>0.71500000000000008</v>
      </c>
      <c r="Z113" s="1027">
        <f t="shared" si="68"/>
        <v>0.4</v>
      </c>
      <c r="AA113" s="1028">
        <f t="shared" si="69"/>
        <v>121.96160150037727</v>
      </c>
      <c r="AB113" s="1028">
        <f t="shared" si="70"/>
        <v>121.96160150037727</v>
      </c>
      <c r="AC113" s="1029">
        <f t="shared" si="71"/>
        <v>0</v>
      </c>
      <c r="AD113" s="1028">
        <f t="shared" si="72"/>
        <v>3832.4635593892685</v>
      </c>
      <c r="AE113" s="1028">
        <f t="shared" si="73"/>
        <v>190.2415034863472</v>
      </c>
      <c r="AF113" s="1030">
        <f t="shared" si="74"/>
        <v>126.82766899089813</v>
      </c>
      <c r="AG113" s="104"/>
      <c r="AH113" s="1025">
        <f>'Recycling - Case 1'!AM203</f>
        <v>852.87833217047034</v>
      </c>
      <c r="AI113" s="1026">
        <f>Parameters!S214</f>
        <v>0.71500000000000008</v>
      </c>
      <c r="AJ113" s="1027">
        <f t="shared" si="75"/>
        <v>0.4</v>
      </c>
      <c r="AK113" s="1028">
        <f t="shared" si="76"/>
        <v>121.96160150037727</v>
      </c>
      <c r="AL113" s="1028">
        <f t="shared" si="77"/>
        <v>121.96160150037727</v>
      </c>
      <c r="AM113" s="1029">
        <f t="shared" si="78"/>
        <v>0</v>
      </c>
      <c r="AN113" s="1028">
        <f t="shared" si="79"/>
        <v>3832.4635593892685</v>
      </c>
      <c r="AO113" s="1028">
        <f t="shared" si="80"/>
        <v>190.2415034863472</v>
      </c>
      <c r="AP113" s="1030">
        <f t="shared" si="81"/>
        <v>126.82766899089813</v>
      </c>
      <c r="AQ113" s="104"/>
      <c r="AR113" s="1064">
        <f>'Recycling - Case 1'!G123</f>
        <v>780.67530949126035</v>
      </c>
      <c r="AS113" s="1065">
        <v>1</v>
      </c>
      <c r="AT113" s="1066">
        <f t="shared" si="82"/>
        <v>0.05</v>
      </c>
      <c r="AU113" s="1044">
        <f t="shared" si="83"/>
        <v>19.516882737281509</v>
      </c>
      <c r="AV113" s="1044">
        <f t="shared" si="84"/>
        <v>19.516882737281509</v>
      </c>
      <c r="AW113" s="1045">
        <f t="shared" si="85"/>
        <v>0</v>
      </c>
      <c r="AX113" s="1044">
        <f t="shared" si="51"/>
        <v>261.99510016484032</v>
      </c>
      <c r="AY113" s="1044">
        <f t="shared" si="54"/>
        <v>14.994015578195068</v>
      </c>
      <c r="AZ113" s="1067">
        <f t="shared" si="52"/>
        <v>9.9960103854633786</v>
      </c>
      <c r="BB113" s="1055">
        <f t="shared" si="86"/>
        <v>245.388348804895</v>
      </c>
      <c r="BC113" s="1056">
        <f t="shared" si="87"/>
        <v>126.82766899089813</v>
      </c>
      <c r="BD113" s="1082">
        <f t="shared" si="101"/>
        <v>9.9960103854633786</v>
      </c>
      <c r="BE113" s="1056">
        <f t="shared" si="60"/>
        <v>382.21202818125653</v>
      </c>
      <c r="BF113" s="167">
        <v>0</v>
      </c>
      <c r="BG113" s="1075">
        <f t="shared" si="88"/>
        <v>382.21202818125653</v>
      </c>
      <c r="BI113" s="1055">
        <f t="shared" si="89"/>
        <v>245.388348804895</v>
      </c>
      <c r="BJ113" s="1056">
        <f t="shared" si="90"/>
        <v>126.82766899089813</v>
      </c>
      <c r="BK113" s="1082">
        <f t="shared" si="91"/>
        <v>9.9960103854633786</v>
      </c>
      <c r="BL113" s="1056">
        <f t="shared" si="61"/>
        <v>382.21202818125653</v>
      </c>
      <c r="BM113" s="167">
        <v>0</v>
      </c>
      <c r="BN113" s="1075">
        <f t="shared" si="92"/>
        <v>382.21202818125653</v>
      </c>
    </row>
    <row r="114" spans="1:66">
      <c r="A114" s="927">
        <f>'Input data'!A144</f>
        <v>2044</v>
      </c>
      <c r="B114" s="824">
        <f>'Input data'!B144</f>
        <v>73.165122580420132</v>
      </c>
      <c r="C114" s="824">
        <f>'Recycling - Case 1'!AK124/B114</f>
        <v>253.95276926291643</v>
      </c>
      <c r="D114" s="826">
        <f>'Recycling - Case 1'!AM124</f>
        <v>0.14694383061973804</v>
      </c>
      <c r="E114" s="826">
        <f>'Recycling - Case 1'!BE124</f>
        <v>0.18652964131175637</v>
      </c>
      <c r="F114" s="826">
        <f>'Recycling - Case 1'!BF124</f>
        <v>0.23657004828090716</v>
      </c>
      <c r="G114" s="826">
        <f>'Recycling - Case 1'!BG124</f>
        <v>7.470846641856399E-2</v>
      </c>
      <c r="H114" s="826">
        <f>'Recycling - Case 1'!BH124</f>
        <v>0</v>
      </c>
      <c r="I114" s="826">
        <f>'Recycling - Case 1'!BI124</f>
        <v>0</v>
      </c>
      <c r="J114" s="826">
        <f>'Recycling - Case 1'!BJ124</f>
        <v>0</v>
      </c>
      <c r="K114" s="826">
        <f>'Recycling - Case 1'!BK124</f>
        <v>0.5021918439887727</v>
      </c>
      <c r="L114" s="827">
        <f t="shared" si="100"/>
        <v>1.0000000000000002</v>
      </c>
      <c r="M114" s="104"/>
      <c r="N114" s="838">
        <f t="shared" si="57"/>
        <v>2730.2877130803945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832">
        <f t="shared" si="62"/>
        <v>137.76646870910633</v>
      </c>
      <c r="R114" s="832">
        <f t="shared" si="63"/>
        <v>137.76646870910633</v>
      </c>
      <c r="S114" s="835">
        <f t="shared" si="64"/>
        <v>0</v>
      </c>
      <c r="T114" s="832">
        <f t="shared" si="65"/>
        <v>7104.7125428512836</v>
      </c>
      <c r="U114" s="832">
        <f t="shared" si="66"/>
        <v>357.20296361390587</v>
      </c>
      <c r="V114" s="839">
        <f t="shared" si="67"/>
        <v>238.13530907593724</v>
      </c>
      <c r="W114" s="1447"/>
      <c r="X114" s="1025">
        <f>'Recycling - Case 1'!AM164</f>
        <v>907.38878790918523</v>
      </c>
      <c r="Y114" s="1026">
        <f>Parameters!S215</f>
        <v>0.71500000000000008</v>
      </c>
      <c r="Z114" s="1027">
        <f t="shared" si="68"/>
        <v>0.4</v>
      </c>
      <c r="AA114" s="1028">
        <f t="shared" si="69"/>
        <v>129.75659667101351</v>
      </c>
      <c r="AB114" s="1028">
        <f t="shared" si="70"/>
        <v>129.75659667101351</v>
      </c>
      <c r="AC114" s="1029">
        <f t="shared" si="71"/>
        <v>0</v>
      </c>
      <c r="AD114" s="1028">
        <f t="shared" si="72"/>
        <v>3775.3087026888256</v>
      </c>
      <c r="AE114" s="1028">
        <f t="shared" si="73"/>
        <v>186.91145337145662</v>
      </c>
      <c r="AF114" s="1030">
        <f t="shared" si="74"/>
        <v>124.60763558097108</v>
      </c>
      <c r="AG114" s="104"/>
      <c r="AH114" s="1025">
        <f>'Recycling - Case 1'!AM204</f>
        <v>907.38878790918523</v>
      </c>
      <c r="AI114" s="1026">
        <f>Parameters!S215</f>
        <v>0.71500000000000008</v>
      </c>
      <c r="AJ114" s="1027">
        <f t="shared" si="75"/>
        <v>0.4</v>
      </c>
      <c r="AK114" s="1028">
        <f t="shared" si="76"/>
        <v>129.75659667101351</v>
      </c>
      <c r="AL114" s="1028">
        <f t="shared" si="77"/>
        <v>129.75659667101351</v>
      </c>
      <c r="AM114" s="1029">
        <f t="shared" si="78"/>
        <v>0</v>
      </c>
      <c r="AN114" s="1028">
        <f t="shared" si="79"/>
        <v>3775.3087026888256</v>
      </c>
      <c r="AO114" s="1028">
        <f t="shared" si="80"/>
        <v>186.91145337145662</v>
      </c>
      <c r="AP114" s="1030">
        <f t="shared" si="81"/>
        <v>124.60763558097108</v>
      </c>
      <c r="AQ114" s="104"/>
      <c r="AR114" s="1064">
        <f>'Recycling - Case 1'!G124</f>
        <v>790.79333787138808</v>
      </c>
      <c r="AS114" s="1065">
        <v>1</v>
      </c>
      <c r="AT114" s="1066">
        <f t="shared" si="82"/>
        <v>0.05</v>
      </c>
      <c r="AU114" s="1044">
        <f t="shared" si="83"/>
        <v>19.769833446784702</v>
      </c>
      <c r="AV114" s="1044">
        <f t="shared" si="84"/>
        <v>19.769833446784702</v>
      </c>
      <c r="AW114" s="1045">
        <f t="shared" si="85"/>
        <v>0</v>
      </c>
      <c r="AX114" s="1044">
        <f t="shared" si="51"/>
        <v>266.50752675488411</v>
      </c>
      <c r="AY114" s="1044">
        <f t="shared" si="54"/>
        <v>15.257406856740952</v>
      </c>
      <c r="AZ114" s="1067">
        <f t="shared" si="52"/>
        <v>10.171604571160634</v>
      </c>
      <c r="BB114" s="1055">
        <f t="shared" si="86"/>
        <v>238.13530907593724</v>
      </c>
      <c r="BC114" s="1056">
        <f t="shared" si="87"/>
        <v>124.60763558097108</v>
      </c>
      <c r="BD114" s="1082">
        <f t="shared" si="101"/>
        <v>10.171604571160634</v>
      </c>
      <c r="BE114" s="1056">
        <f t="shared" si="60"/>
        <v>372.91454922806895</v>
      </c>
      <c r="BF114" s="167">
        <v>0</v>
      </c>
      <c r="BG114" s="1075">
        <f t="shared" si="88"/>
        <v>372.91454922806895</v>
      </c>
      <c r="BI114" s="1055">
        <f t="shared" si="89"/>
        <v>238.13530907593724</v>
      </c>
      <c r="BJ114" s="1056">
        <f t="shared" si="90"/>
        <v>124.60763558097108</v>
      </c>
      <c r="BK114" s="1082">
        <f t="shared" si="91"/>
        <v>10.171604571160634</v>
      </c>
      <c r="BL114" s="1056">
        <f t="shared" si="61"/>
        <v>372.91454922806895</v>
      </c>
      <c r="BM114" s="167">
        <v>0</v>
      </c>
      <c r="BN114" s="1075">
        <f t="shared" si="92"/>
        <v>372.91454922806895</v>
      </c>
    </row>
    <row r="115" spans="1:66">
      <c r="A115" s="927">
        <f>'Input data'!A145</f>
        <v>2045</v>
      </c>
      <c r="B115" s="824">
        <f>'Input data'!B145</f>
        <v>73.619545999999971</v>
      </c>
      <c r="C115" s="824">
        <f>'Recycling - Case 1'!AK125/B115</f>
        <v>250.06203973382028</v>
      </c>
      <c r="D115" s="826">
        <f>'Recycling - Case 1'!AM125</f>
        <v>0.13922885836483925</v>
      </c>
      <c r="E115" s="826">
        <f>'Recycling - Case 1'!BE125</f>
        <v>0.18694699438263682</v>
      </c>
      <c r="F115" s="826">
        <f>'Recycling - Case 1'!BF125</f>
        <v>0.23709936488407021</v>
      </c>
      <c r="G115" s="826">
        <f>'Recycling - Case 1'!BG125</f>
        <v>7.4585872898891889E-2</v>
      </c>
      <c r="H115" s="826">
        <f>'Recycling - Case 1'!BH125</f>
        <v>0</v>
      </c>
      <c r="I115" s="826">
        <f>'Recycling - Case 1'!BI125</f>
        <v>0</v>
      </c>
      <c r="J115" s="826">
        <f>'Recycling - Case 1'!BJ125</f>
        <v>0</v>
      </c>
      <c r="K115" s="826">
        <f>'Recycling - Case 1'!BK125</f>
        <v>0.50136776783440118</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832">
        <f t="shared" si="62"/>
        <v>130.38951502188556</v>
      </c>
      <c r="R115" s="832">
        <f t="shared" si="63"/>
        <v>130.38951502188556</v>
      </c>
      <c r="S115" s="835">
        <f t="shared" si="64"/>
        <v>0</v>
      </c>
      <c r="T115" s="832">
        <f t="shared" si="65"/>
        <v>6888.6011384013173</v>
      </c>
      <c r="U115" s="832">
        <f t="shared" si="66"/>
        <v>346.50091947185263</v>
      </c>
      <c r="V115" s="839">
        <f t="shared" si="67"/>
        <v>231.00061298123509</v>
      </c>
      <c r="W115" s="1447"/>
      <c r="X115" s="1025">
        <f>'Recycling - Case 1'!AM165</f>
        <v>965.77901393648995</v>
      </c>
      <c r="Y115" s="1026">
        <f>Parameters!S216</f>
        <v>0.71500000000000008</v>
      </c>
      <c r="Z115" s="1027">
        <f t="shared" si="68"/>
        <v>0.4</v>
      </c>
      <c r="AA115" s="1028">
        <f t="shared" si="69"/>
        <v>138.10639899291809</v>
      </c>
      <c r="AB115" s="1028">
        <f t="shared" si="70"/>
        <v>138.10639899291809</v>
      </c>
      <c r="AC115" s="1029">
        <f t="shared" si="71"/>
        <v>0</v>
      </c>
      <c r="AD115" s="1028">
        <f t="shared" si="72"/>
        <v>3729.2911235641468</v>
      </c>
      <c r="AE115" s="1028">
        <f t="shared" si="73"/>
        <v>184.12397811759681</v>
      </c>
      <c r="AF115" s="1030">
        <f t="shared" si="74"/>
        <v>122.74931874506454</v>
      </c>
      <c r="AG115" s="104"/>
      <c r="AH115" s="1025">
        <f>'Recycling - Case 1'!AM205</f>
        <v>965.77901393648995</v>
      </c>
      <c r="AI115" s="1026">
        <f>Parameters!S216</f>
        <v>0.71500000000000008</v>
      </c>
      <c r="AJ115" s="1027">
        <f t="shared" si="75"/>
        <v>0.4</v>
      </c>
      <c r="AK115" s="1028">
        <f t="shared" si="76"/>
        <v>138.10639899291809</v>
      </c>
      <c r="AL115" s="1028">
        <f t="shared" si="77"/>
        <v>138.10639899291809</v>
      </c>
      <c r="AM115" s="1029">
        <f t="shared" si="78"/>
        <v>0</v>
      </c>
      <c r="AN115" s="1028">
        <f t="shared" si="79"/>
        <v>3729.2911235641468</v>
      </c>
      <c r="AO115" s="1028">
        <f t="shared" si="80"/>
        <v>184.12397811759681</v>
      </c>
      <c r="AP115" s="1030">
        <f t="shared" si="81"/>
        <v>122.74931874506454</v>
      </c>
      <c r="AQ115" s="104"/>
      <c r="AR115" s="1064">
        <f>'Recycling - Case 1'!G125</f>
        <v>801.00693591981212</v>
      </c>
      <c r="AS115" s="1065">
        <v>1</v>
      </c>
      <c r="AT115" s="1066">
        <f t="shared" si="82"/>
        <v>0.05</v>
      </c>
      <c r="AU115" s="1044">
        <f t="shared" si="83"/>
        <v>20.025173397995303</v>
      </c>
      <c r="AV115" s="1044">
        <f t="shared" si="84"/>
        <v>20.025173397995303</v>
      </c>
      <c r="AW115" s="1045">
        <f t="shared" si="85"/>
        <v>0</v>
      </c>
      <c r="AX115" s="1044">
        <f t="shared" si="51"/>
        <v>271.0125100290004</v>
      </c>
      <c r="AY115" s="1044">
        <f t="shared" si="54"/>
        <v>15.52019012387899</v>
      </c>
      <c r="AZ115" s="1067">
        <f t="shared" si="52"/>
        <v>10.346793415919327</v>
      </c>
      <c r="BB115" s="1055">
        <f t="shared" si="86"/>
        <v>231.00061298123509</v>
      </c>
      <c r="BC115" s="1056">
        <f t="shared" si="87"/>
        <v>122.74931874506454</v>
      </c>
      <c r="BD115" s="1082">
        <f t="shared" si="101"/>
        <v>10.346793415919327</v>
      </c>
      <c r="BE115" s="1056">
        <f t="shared" si="60"/>
        <v>364.09672514221893</v>
      </c>
      <c r="BF115" s="167">
        <v>0</v>
      </c>
      <c r="BG115" s="1075">
        <f t="shared" si="88"/>
        <v>364.09672514221893</v>
      </c>
      <c r="BI115" s="1055">
        <f t="shared" si="89"/>
        <v>231.00061298123509</v>
      </c>
      <c r="BJ115" s="1056">
        <f t="shared" si="90"/>
        <v>122.74931874506454</v>
      </c>
      <c r="BK115" s="1082">
        <f t="shared" si="91"/>
        <v>10.346793415919327</v>
      </c>
      <c r="BL115" s="1056">
        <f t="shared" si="61"/>
        <v>364.09672514221893</v>
      </c>
      <c r="BM115" s="167">
        <v>0</v>
      </c>
      <c r="BN115" s="1075">
        <f t="shared" si="92"/>
        <v>364.09672514221893</v>
      </c>
    </row>
    <row r="116" spans="1:66">
      <c r="A116" s="927">
        <f>'Input data'!A146</f>
        <v>2046</v>
      </c>
      <c r="B116" s="824">
        <f>'Input data'!B146</f>
        <v>73.995362001779526</v>
      </c>
      <c r="C116" s="824">
        <f>'Recycling - Case 1'!AK126/B116</f>
        <v>246.36276968453541</v>
      </c>
      <c r="D116" s="826">
        <f>'Recycling - Case 1'!AM126</f>
        <v>0.13143202920706248</v>
      </c>
      <c r="E116" s="826">
        <f>'Recycling - Case 1'!BE126</f>
        <v>0.18728726320529812</v>
      </c>
      <c r="F116" s="826">
        <f>'Recycling - Case 1'!BF126</f>
        <v>0.23753091780638</v>
      </c>
      <c r="G116" s="826">
        <f>'Recycling - Case 1'!BG126</f>
        <v>7.4485922148519484E-2</v>
      </c>
      <c r="H116" s="826">
        <f>'Recycling - Case 1'!BH126</f>
        <v>0</v>
      </c>
      <c r="I116" s="826">
        <f>'Recycling - Case 1'!BI126</f>
        <v>0</v>
      </c>
      <c r="J116" s="826">
        <f>'Recycling - Case 1'!BJ126</f>
        <v>0</v>
      </c>
      <c r="K116" s="826">
        <f>'Recycling - Case 1'!BK126</f>
        <v>0.50069589683980242</v>
      </c>
      <c r="L116" s="827">
        <f t="shared" si="100"/>
        <v>1</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832">
        <f t="shared" si="62"/>
        <v>122.85081635110301</v>
      </c>
      <c r="R116" s="832">
        <f t="shared" si="63"/>
        <v>122.85081635110301</v>
      </c>
      <c r="S116" s="835">
        <f t="shared" si="64"/>
        <v>0</v>
      </c>
      <c r="T116" s="832">
        <f>R116+(T115*$C$8)</f>
        <v>6675.490912847552</v>
      </c>
      <c r="U116" s="832">
        <f t="shared" si="66"/>
        <v>335.96104190486881</v>
      </c>
      <c r="V116" s="839">
        <f t="shared" si="67"/>
        <v>223.9740279365792</v>
      </c>
      <c r="W116" s="1447"/>
      <c r="X116" s="1025">
        <f>'Recycling - Case 1'!AM166</f>
        <v>925.84239651057635</v>
      </c>
      <c r="Y116" s="1026">
        <f>Parameters!S217</f>
        <v>0.71500000000000008</v>
      </c>
      <c r="Z116" s="1027">
        <f t="shared" si="68"/>
        <v>0.4</v>
      </c>
      <c r="AA116" s="1028">
        <f t="shared" si="69"/>
        <v>132.39546270101243</v>
      </c>
      <c r="AB116" s="1028">
        <f t="shared" si="70"/>
        <v>132.39546270101243</v>
      </c>
      <c r="AC116" s="1029">
        <f t="shared" si="71"/>
        <v>0</v>
      </c>
      <c r="AD116" s="1028">
        <f t="shared" si="72"/>
        <v>3679.806911964557</v>
      </c>
      <c r="AE116" s="1028">
        <f t="shared" si="73"/>
        <v>181.87967430060229</v>
      </c>
      <c r="AF116" s="1030">
        <f t="shared" si="74"/>
        <v>121.25311620040152</v>
      </c>
      <c r="AG116" s="104"/>
      <c r="AH116" s="1025">
        <f>'Recycling - Case 1'!AM206</f>
        <v>925.84239651057635</v>
      </c>
      <c r="AI116" s="1026">
        <f>Parameters!S217</f>
        <v>0.71500000000000008</v>
      </c>
      <c r="AJ116" s="1027">
        <f t="shared" si="75"/>
        <v>0.4</v>
      </c>
      <c r="AK116" s="1028">
        <f t="shared" si="76"/>
        <v>132.39546270101243</v>
      </c>
      <c r="AL116" s="1028">
        <f t="shared" si="77"/>
        <v>132.39546270101243</v>
      </c>
      <c r="AM116" s="1029">
        <f t="shared" si="78"/>
        <v>0</v>
      </c>
      <c r="AN116" s="1028">
        <f t="shared" si="79"/>
        <v>3679.806911964557</v>
      </c>
      <c r="AO116" s="1028">
        <f t="shared" si="80"/>
        <v>181.87967430060229</v>
      </c>
      <c r="AP116" s="1030">
        <f t="shared" si="81"/>
        <v>121.25311620040152</v>
      </c>
      <c r="AQ116" s="104"/>
      <c r="AR116" s="1064">
        <f>'Recycling - Case 1'!G126</f>
        <v>810.42505056127879</v>
      </c>
      <c r="AS116" s="1065">
        <v>1</v>
      </c>
      <c r="AT116" s="1066">
        <f t="shared" si="82"/>
        <v>0.05</v>
      </c>
      <c r="AU116" s="1044">
        <f t="shared" si="83"/>
        <v>20.26062626403197</v>
      </c>
      <c r="AV116" s="1044">
        <f t="shared" si="84"/>
        <v>20.26062626403197</v>
      </c>
      <c r="AW116" s="1045">
        <f t="shared" si="85"/>
        <v>0</v>
      </c>
      <c r="AX116" s="1044">
        <f t="shared" si="51"/>
        <v>275.49059636699008</v>
      </c>
      <c r="AY116" s="1044">
        <f t="shared" si="54"/>
        <v>15.782539926042309</v>
      </c>
      <c r="AZ116" s="1067">
        <f t="shared" si="52"/>
        <v>10.521693284028206</v>
      </c>
      <c r="BB116" s="1055">
        <f t="shared" si="86"/>
        <v>223.9740279365792</v>
      </c>
      <c r="BC116" s="1056">
        <f t="shared" si="87"/>
        <v>121.25311620040152</v>
      </c>
      <c r="BD116" s="1082">
        <f t="shared" si="101"/>
        <v>10.521693284028206</v>
      </c>
      <c r="BE116" s="1056">
        <f t="shared" si="60"/>
        <v>355.74883742100894</v>
      </c>
      <c r="BF116" s="167">
        <v>0</v>
      </c>
      <c r="BG116" s="1075">
        <f t="shared" si="88"/>
        <v>355.74883742100894</v>
      </c>
      <c r="BI116" s="1055">
        <f t="shared" si="89"/>
        <v>223.9740279365792</v>
      </c>
      <c r="BJ116" s="1056">
        <f t="shared" si="90"/>
        <v>121.25311620040152</v>
      </c>
      <c r="BK116" s="1082">
        <f t="shared" si="91"/>
        <v>10.521693284028206</v>
      </c>
      <c r="BL116" s="1056">
        <f t="shared" si="61"/>
        <v>355.74883742100894</v>
      </c>
      <c r="BM116" s="167">
        <v>0</v>
      </c>
      <c r="BN116" s="1075">
        <f t="shared" si="92"/>
        <v>355.74883742100894</v>
      </c>
    </row>
    <row r="117" spans="1:66">
      <c r="A117" s="927">
        <f>'Input data'!A147</f>
        <v>2047</v>
      </c>
      <c r="B117" s="824">
        <f>'Input data'!B147</f>
        <v>74.373096484110363</v>
      </c>
      <c r="C117" s="824">
        <f>'Recycling - Case 1'!AK127/B117</f>
        <v>242.69971882361628</v>
      </c>
      <c r="D117" s="826">
        <f>'Recycling - Case 1'!AM127</f>
        <v>0.12347731843120803</v>
      </c>
      <c r="E117" s="826">
        <f>'Recycling - Case 1'!BE127</f>
        <v>0.18762490000098597</v>
      </c>
      <c r="F117" s="826">
        <f>'Recycling - Case 1'!BF127</f>
        <v>0.23795913260642762</v>
      </c>
      <c r="G117" s="826">
        <f>'Recycling - Case 1'!BG127</f>
        <v>7.4386744531192123E-2</v>
      </c>
      <c r="H117" s="826">
        <f>'Recycling - Case 1'!BH127</f>
        <v>0</v>
      </c>
      <c r="I117" s="826">
        <f>'Recycling - Case 1'!BI127</f>
        <v>0</v>
      </c>
      <c r="J117" s="826">
        <f>'Recycling - Case 1'!BJ127</f>
        <v>0</v>
      </c>
      <c r="K117" s="826">
        <f>'Recycling - Case 1'!BK127</f>
        <v>0.5000292228613944</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832">
        <f t="shared" si="62"/>
        <v>115.1781138943394</v>
      </c>
      <c r="R117" s="832">
        <f t="shared" si="63"/>
        <v>115.1781138943394</v>
      </c>
      <c r="S117" s="835">
        <f t="shared" si="64"/>
        <v>0</v>
      </c>
      <c r="T117" s="832">
        <f t="shared" ref="T117:T120" si="102">R117+(T116*$C$8)</f>
        <v>6465.1014931820628</v>
      </c>
      <c r="U117" s="832">
        <f t="shared" si="66"/>
        <v>325.56753355982903</v>
      </c>
      <c r="V117" s="839">
        <f t="shared" si="67"/>
        <v>217.04502237321935</v>
      </c>
      <c r="W117" s="1447"/>
      <c r="X117" s="1025">
        <f>'Recycling - Case 1'!AM167</f>
        <v>886.80153301544283</v>
      </c>
      <c r="Y117" s="1026">
        <f>Parameters!S218</f>
        <v>0.71500000000000008</v>
      </c>
      <c r="Z117" s="1027">
        <f t="shared" si="68"/>
        <v>0.4</v>
      </c>
      <c r="AA117" s="1028">
        <f t="shared" si="69"/>
        <v>126.81261922120835</v>
      </c>
      <c r="AB117" s="1028">
        <f t="shared" si="70"/>
        <v>126.81261922120835</v>
      </c>
      <c r="AC117" s="1029">
        <f t="shared" si="71"/>
        <v>0</v>
      </c>
      <c r="AD117" s="1028">
        <f t="shared" si="72"/>
        <v>3627.1532303630038</v>
      </c>
      <c r="AE117" s="1028">
        <f t="shared" si="73"/>
        <v>179.46630082276184</v>
      </c>
      <c r="AF117" s="1030">
        <f t="shared" si="74"/>
        <v>119.6442005485079</v>
      </c>
      <c r="AG117" s="104"/>
      <c r="AH117" s="1025">
        <f>'Recycling - Case 1'!AM207</f>
        <v>886.80153301544283</v>
      </c>
      <c r="AI117" s="1026">
        <f>Parameters!S218</f>
        <v>0.71500000000000008</v>
      </c>
      <c r="AJ117" s="1027">
        <f t="shared" si="75"/>
        <v>0.4</v>
      </c>
      <c r="AK117" s="1028">
        <f t="shared" si="76"/>
        <v>126.81261922120835</v>
      </c>
      <c r="AL117" s="1028">
        <f t="shared" si="77"/>
        <v>126.81261922120835</v>
      </c>
      <c r="AM117" s="1029">
        <f t="shared" si="78"/>
        <v>0</v>
      </c>
      <c r="AN117" s="1028">
        <f t="shared" si="79"/>
        <v>3627.1532303630038</v>
      </c>
      <c r="AO117" s="1028">
        <f t="shared" si="80"/>
        <v>179.46630082276184</v>
      </c>
      <c r="AP117" s="1030">
        <f t="shared" si="81"/>
        <v>119.6442005485079</v>
      </c>
      <c r="AQ117" s="104"/>
      <c r="AR117" s="1064">
        <f>'Recycling - Case 1'!G127</f>
        <v>819.91844738595455</v>
      </c>
      <c r="AS117" s="1065">
        <v>1</v>
      </c>
      <c r="AT117" s="1066">
        <f t="shared" si="82"/>
        <v>0.05</v>
      </c>
      <c r="AU117" s="1044">
        <f t="shared" si="83"/>
        <v>20.497961184648865</v>
      </c>
      <c r="AV117" s="1044">
        <f t="shared" si="84"/>
        <v>20.497961184648865</v>
      </c>
      <c r="AW117" s="1045">
        <f t="shared" si="85"/>
        <v>0</v>
      </c>
      <c r="AX117" s="1044">
        <f t="shared" si="51"/>
        <v>279.94523417905384</v>
      </c>
      <c r="AY117" s="1044">
        <f t="shared" si="54"/>
        <v>16.043323372585142</v>
      </c>
      <c r="AZ117" s="1067">
        <f t="shared" si="52"/>
        <v>10.695548915056762</v>
      </c>
      <c r="BB117" s="1055">
        <f t="shared" si="86"/>
        <v>217.04502237321935</v>
      </c>
      <c r="BC117" s="1056">
        <f t="shared" si="87"/>
        <v>119.6442005485079</v>
      </c>
      <c r="BD117" s="1082">
        <f t="shared" si="101"/>
        <v>10.695548915056762</v>
      </c>
      <c r="BE117" s="1056">
        <f t="shared" si="60"/>
        <v>347.38477183678401</v>
      </c>
      <c r="BF117" s="167">
        <v>0</v>
      </c>
      <c r="BG117" s="1075">
        <f t="shared" si="88"/>
        <v>347.38477183678401</v>
      </c>
      <c r="BI117" s="1055">
        <f t="shared" si="89"/>
        <v>217.04502237321935</v>
      </c>
      <c r="BJ117" s="1056">
        <f t="shared" si="90"/>
        <v>119.6442005485079</v>
      </c>
      <c r="BK117" s="1082">
        <f t="shared" si="91"/>
        <v>10.695548915056762</v>
      </c>
      <c r="BL117" s="1056">
        <f t="shared" si="61"/>
        <v>347.38477183678401</v>
      </c>
      <c r="BM117" s="167">
        <v>0</v>
      </c>
      <c r="BN117" s="1075">
        <f t="shared" si="92"/>
        <v>347.38477183678401</v>
      </c>
    </row>
    <row r="118" spans="1:66">
      <c r="A118" s="927">
        <f>'Input data'!A148</f>
        <v>2048</v>
      </c>
      <c r="B118" s="824">
        <f>'Input data'!B148</f>
        <v>74.752759240528661</v>
      </c>
      <c r="C118" s="824">
        <f>'Recycling - Case 1'!AK128/B118</f>
        <v>242.04472938065743</v>
      </c>
      <c r="D118" s="826">
        <f>'Recycling - Case 1'!AM128</f>
        <v>0.12318262881540074</v>
      </c>
      <c r="E118" s="826">
        <f>'Recycling - Case 1'!BE128</f>
        <v>0.18795993086424437</v>
      </c>
      <c r="F118" s="826">
        <f>'Recycling - Case 1'!BF128</f>
        <v>0.23838404237915467</v>
      </c>
      <c r="G118" s="826">
        <f>'Recycling - Case 1'!BG128</f>
        <v>7.4288332381884134E-2</v>
      </c>
      <c r="H118" s="826">
        <f>'Recycling - Case 1'!BH128</f>
        <v>0</v>
      </c>
      <c r="I118" s="826">
        <f>'Recycling - Case 1'!BI128</f>
        <v>0</v>
      </c>
      <c r="J118" s="826">
        <f>'Recycling - Case 1'!BJ128</f>
        <v>0</v>
      </c>
      <c r="K118" s="826">
        <f>'Recycling - Case 1'!BK128</f>
        <v>0.49936769437471668</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832">
        <f t="shared" si="62"/>
        <v>116.0770323795544</v>
      </c>
      <c r="R118" s="832">
        <f t="shared" si="63"/>
        <v>116.0770323795544</v>
      </c>
      <c r="S118" s="835">
        <f t="shared" si="64"/>
        <v>0</v>
      </c>
      <c r="T118" s="832">
        <f t="shared" si="102"/>
        <v>6265.8718050778343</v>
      </c>
      <c r="U118" s="832">
        <f t="shared" si="66"/>
        <v>315.30672048378233</v>
      </c>
      <c r="V118" s="839">
        <f t="shared" si="67"/>
        <v>210.20448032252156</v>
      </c>
      <c r="W118" s="1447"/>
      <c r="X118" s="1025">
        <f>'Recycling - Case 1'!AM168</f>
        <v>850.15503887168097</v>
      </c>
      <c r="Y118" s="1026">
        <f>Parameters!S219</f>
        <v>0.71500000000000008</v>
      </c>
      <c r="Z118" s="1027">
        <f t="shared" si="68"/>
        <v>0.4</v>
      </c>
      <c r="AA118" s="1028">
        <f t="shared" si="69"/>
        <v>121.57217055865041</v>
      </c>
      <c r="AB118" s="1028">
        <f t="shared" si="70"/>
        <v>121.57217055865041</v>
      </c>
      <c r="AC118" s="1029">
        <f t="shared" si="71"/>
        <v>0</v>
      </c>
      <c r="AD118" s="1028">
        <f t="shared" si="72"/>
        <v>3571.8270504527559</v>
      </c>
      <c r="AE118" s="1028">
        <f t="shared" si="73"/>
        <v>176.89835046889792</v>
      </c>
      <c r="AF118" s="1030">
        <f t="shared" si="74"/>
        <v>117.93223364593194</v>
      </c>
      <c r="AG118" s="104"/>
      <c r="AH118" s="1025">
        <f>'Recycling - Case 1'!AM208</f>
        <v>850.15503887168097</v>
      </c>
      <c r="AI118" s="1026">
        <f>Parameters!S219</f>
        <v>0.71500000000000008</v>
      </c>
      <c r="AJ118" s="1027">
        <f t="shared" si="75"/>
        <v>0.4</v>
      </c>
      <c r="AK118" s="1028">
        <f t="shared" si="76"/>
        <v>121.57217055865041</v>
      </c>
      <c r="AL118" s="1028">
        <f t="shared" si="77"/>
        <v>121.57217055865041</v>
      </c>
      <c r="AM118" s="1029">
        <f t="shared" si="78"/>
        <v>0</v>
      </c>
      <c r="AN118" s="1028">
        <f t="shared" si="79"/>
        <v>3571.8270504527559</v>
      </c>
      <c r="AO118" s="1028">
        <f t="shared" si="80"/>
        <v>176.89835046889792</v>
      </c>
      <c r="AP118" s="1030">
        <f t="shared" si="81"/>
        <v>117.93223364593194</v>
      </c>
      <c r="AQ118" s="104"/>
      <c r="AR118" s="1064">
        <f>'Recycling - Case 1'!G128</f>
        <v>829.4876495705023</v>
      </c>
      <c r="AS118" s="1065">
        <v>1</v>
      </c>
      <c r="AT118" s="1066">
        <f t="shared" si="82"/>
        <v>0.05</v>
      </c>
      <c r="AU118" s="1044">
        <f t="shared" si="83"/>
        <v>20.737191239262557</v>
      </c>
      <c r="AV118" s="1044">
        <f t="shared" si="84"/>
        <v>20.737191239262557</v>
      </c>
      <c r="AW118" s="1045">
        <f t="shared" si="85"/>
        <v>0</v>
      </c>
      <c r="AX118" s="1044">
        <f t="shared" si="51"/>
        <v>284.37968413503245</v>
      </c>
      <c r="AY118" s="1044">
        <f t="shared" si="54"/>
        <v>16.302741283283918</v>
      </c>
      <c r="AZ118" s="1067">
        <f t="shared" si="52"/>
        <v>10.868494188855946</v>
      </c>
      <c r="BB118" s="1055">
        <f t="shared" si="86"/>
        <v>210.20448032252156</v>
      </c>
      <c r="BC118" s="1056">
        <f t="shared" si="87"/>
        <v>117.93223364593194</v>
      </c>
      <c r="BD118" s="1082">
        <f t="shared" si="101"/>
        <v>10.868494188855946</v>
      </c>
      <c r="BE118" s="1056">
        <f t="shared" si="60"/>
        <v>339.00520815730943</v>
      </c>
      <c r="BF118" s="167">
        <v>0</v>
      </c>
      <c r="BG118" s="1075">
        <f t="shared" si="88"/>
        <v>339.00520815730943</v>
      </c>
      <c r="BI118" s="1055">
        <f t="shared" si="89"/>
        <v>210.20448032252156</v>
      </c>
      <c r="BJ118" s="1056">
        <f t="shared" si="90"/>
        <v>117.93223364593194</v>
      </c>
      <c r="BK118" s="1082">
        <f t="shared" si="91"/>
        <v>10.868494188855946</v>
      </c>
      <c r="BL118" s="1056">
        <f t="shared" si="61"/>
        <v>339.00520815730943</v>
      </c>
      <c r="BM118" s="167">
        <v>0</v>
      </c>
      <c r="BN118" s="1075">
        <f t="shared" si="92"/>
        <v>339.00520815730943</v>
      </c>
    </row>
    <row r="119" spans="1:66">
      <c r="A119" s="927">
        <f>'Input data'!A149</f>
        <v>2049</v>
      </c>
      <c r="B119" s="824">
        <f>'Input data'!B149</f>
        <v>75.134360114565098</v>
      </c>
      <c r="C119" s="824">
        <f>'Recycling - Case 1'!AK129/B119</f>
        <v>241.39323220033924</v>
      </c>
      <c r="D119" s="826">
        <f>'Recycling - Case 1'!AM129</f>
        <v>0.12288776454186226</v>
      </c>
      <c r="E119" s="826">
        <f>'Recycling - Case 1'!BE129</f>
        <v>0.1882923815554092</v>
      </c>
      <c r="F119" s="826">
        <f>'Recycling - Case 1'!BF129</f>
        <v>0.23880567979563602</v>
      </c>
      <c r="G119" s="826">
        <f>'Recycling - Case 1'!BG129</f>
        <v>7.419067813374039E-2</v>
      </c>
      <c r="H119" s="826">
        <f>'Recycling - Case 1'!BH129</f>
        <v>0</v>
      </c>
      <c r="I119" s="826">
        <f>'Recycling - Case 1'!BI129</f>
        <v>0</v>
      </c>
      <c r="J119" s="826">
        <f>'Recycling - Case 1'!BJ129</f>
        <v>0</v>
      </c>
      <c r="K119" s="826">
        <f>'Recycling - Case 1'!BK129</f>
        <v>0.49871126051521419</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832">
        <f t="shared" si="62"/>
        <v>116.9765759507158</v>
      </c>
      <c r="R119" s="832">
        <f t="shared" si="63"/>
        <v>116.9765759507158</v>
      </c>
      <c r="S119" s="835">
        <f t="shared" si="64"/>
        <v>0</v>
      </c>
      <c r="T119" s="832">
        <f t="shared" si="102"/>
        <v>6077.2582070901535</v>
      </c>
      <c r="U119" s="832">
        <f t="shared" si="66"/>
        <v>305.59017393839588</v>
      </c>
      <c r="V119" s="839">
        <f t="shared" si="67"/>
        <v>203.72678262559725</v>
      </c>
      <c r="W119" s="1447"/>
      <c r="X119" s="1025">
        <f>'Recycling - Case 1'!AM169</f>
        <v>815.59830515786018</v>
      </c>
      <c r="Y119" s="1026">
        <f>Parameters!S220</f>
        <v>0.71500000000000008</v>
      </c>
      <c r="Z119" s="1027">
        <f t="shared" si="68"/>
        <v>0.4</v>
      </c>
      <c r="AA119" s="1028">
        <f t="shared" si="69"/>
        <v>116.63055763757401</v>
      </c>
      <c r="AB119" s="1028">
        <f t="shared" si="70"/>
        <v>116.63055763757401</v>
      </c>
      <c r="AC119" s="1029">
        <f t="shared" si="71"/>
        <v>0</v>
      </c>
      <c r="AD119" s="1028">
        <f t="shared" si="72"/>
        <v>3514.2575472558319</v>
      </c>
      <c r="AE119" s="1028">
        <f t="shared" si="73"/>
        <v>174.20006083449809</v>
      </c>
      <c r="AF119" s="1030">
        <f t="shared" si="74"/>
        <v>116.13337388966539</v>
      </c>
      <c r="AG119" s="104"/>
      <c r="AH119" s="1025">
        <f>'Recycling - Case 1'!AM209</f>
        <v>815.59830515786018</v>
      </c>
      <c r="AI119" s="1026">
        <f>Parameters!S220</f>
        <v>0.71500000000000008</v>
      </c>
      <c r="AJ119" s="1027">
        <f t="shared" si="75"/>
        <v>0.4</v>
      </c>
      <c r="AK119" s="1028">
        <f t="shared" si="76"/>
        <v>116.63055763757401</v>
      </c>
      <c r="AL119" s="1028">
        <f t="shared" si="77"/>
        <v>116.63055763757401</v>
      </c>
      <c r="AM119" s="1029">
        <f t="shared" si="78"/>
        <v>0</v>
      </c>
      <c r="AN119" s="1028">
        <f t="shared" si="79"/>
        <v>3514.2575472558319</v>
      </c>
      <c r="AO119" s="1028">
        <f t="shared" si="80"/>
        <v>174.20006083449809</v>
      </c>
      <c r="AP119" s="1030">
        <f t="shared" si="81"/>
        <v>116.13337388966539</v>
      </c>
      <c r="AQ119" s="104"/>
      <c r="AR119" s="1064">
        <f>'Recycling - Case 1'!G129</f>
        <v>839.13318367124407</v>
      </c>
      <c r="AS119" s="1065">
        <v>1</v>
      </c>
      <c r="AT119" s="1066">
        <f t="shared" si="82"/>
        <v>0.05</v>
      </c>
      <c r="AU119" s="1044">
        <f t="shared" si="83"/>
        <v>20.978329591781105</v>
      </c>
      <c r="AV119" s="1044">
        <f t="shared" si="84"/>
        <v>20.978329591781105</v>
      </c>
      <c r="AW119" s="1045">
        <f t="shared" si="85"/>
        <v>0</v>
      </c>
      <c r="AX119" s="1044">
        <f t="shared" si="51"/>
        <v>288.79703018204594</v>
      </c>
      <c r="AY119" s="1044">
        <f t="shared" si="54"/>
        <v>16.560983544767641</v>
      </c>
      <c r="AZ119" s="1067">
        <f t="shared" si="52"/>
        <v>11.040655696511761</v>
      </c>
      <c r="BB119" s="1055">
        <f t="shared" si="86"/>
        <v>203.72678262559725</v>
      </c>
      <c r="BC119" s="1056">
        <f t="shared" si="87"/>
        <v>116.13337388966539</v>
      </c>
      <c r="BD119" s="1082">
        <f t="shared" si="101"/>
        <v>11.040655696511761</v>
      </c>
      <c r="BE119" s="1056">
        <f t="shared" si="60"/>
        <v>330.90081221177439</v>
      </c>
      <c r="BF119" s="167">
        <v>0</v>
      </c>
      <c r="BG119" s="1075">
        <f t="shared" si="88"/>
        <v>330.90081221177439</v>
      </c>
      <c r="BI119" s="1055">
        <f t="shared" si="89"/>
        <v>203.72678262559725</v>
      </c>
      <c r="BJ119" s="1056">
        <f t="shared" si="90"/>
        <v>116.13337388966539</v>
      </c>
      <c r="BK119" s="1082">
        <f t="shared" si="91"/>
        <v>11.040655696511761</v>
      </c>
      <c r="BL119" s="1056">
        <f t="shared" si="61"/>
        <v>330.90081221177439</v>
      </c>
      <c r="BM119" s="167">
        <v>0</v>
      </c>
      <c r="BN119" s="1075">
        <f t="shared" si="92"/>
        <v>330.90081221177439</v>
      </c>
    </row>
    <row r="120" spans="1:66" ht="15.75" thickBot="1">
      <c r="A120" s="928">
        <f>'Input data'!A150</f>
        <v>2050</v>
      </c>
      <c r="B120" s="828">
        <f>'Input data'!B150</f>
        <v>75.517908999999989</v>
      </c>
      <c r="C120" s="828">
        <f>'Recycling - Case 1'!AK130/B120</f>
        <v>240.74520722189973</v>
      </c>
      <c r="D120" s="830">
        <f>'Recycling - Case 1'!AM130</f>
        <v>0.12259273093157032</v>
      </c>
      <c r="E120" s="830">
        <f>'Recycling - Case 1'!BE130</f>
        <v>0.18862227750594662</v>
      </c>
      <c r="F120" s="830">
        <f>'Recycling - Case 1'!BF130</f>
        <v>0.239224077109851</v>
      </c>
      <c r="G120" s="830">
        <f>'Recycling - Case 1'!BG130</f>
        <v>7.4093774316508057E-2</v>
      </c>
      <c r="H120" s="830">
        <f>'Recycling - Case 1'!BH130</f>
        <v>0</v>
      </c>
      <c r="I120" s="830">
        <f>'Recycling - Case 1'!BI130</f>
        <v>0</v>
      </c>
      <c r="J120" s="830">
        <f>'Recycling - Case 1'!BJ130</f>
        <v>0</v>
      </c>
      <c r="K120" s="830">
        <f>'Recycling - Case 1'!BK130</f>
        <v>0.49805987106769423</v>
      </c>
      <c r="L120" s="831">
        <f t="shared" si="100"/>
        <v>0.99999999999999989</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843">
        <f t="shared" si="62"/>
        <v>117.87673605600368</v>
      </c>
      <c r="R120" s="843">
        <f t="shared" si="63"/>
        <v>117.87673605600368</v>
      </c>
      <c r="S120" s="844">
        <f t="shared" si="64"/>
        <v>0</v>
      </c>
      <c r="T120" s="843">
        <f t="shared" si="102"/>
        <v>5898.7435629286119</v>
      </c>
      <c r="U120" s="843">
        <f t="shared" si="66"/>
        <v>296.3913802175457</v>
      </c>
      <c r="V120" s="845">
        <f t="shared" si="67"/>
        <v>197.59425347836381</v>
      </c>
      <c r="W120" s="1447"/>
      <c r="X120" s="1031">
        <f>'Recycling - Case 1'!AM170</f>
        <v>783.27913391466359</v>
      </c>
      <c r="Y120" s="1032">
        <f>Parameters!S221</f>
        <v>0.71500000000000008</v>
      </c>
      <c r="Z120" s="1033">
        <f t="shared" si="68"/>
        <v>0.4</v>
      </c>
      <c r="AA120" s="1034">
        <f t="shared" si="69"/>
        <v>112.00891614979692</v>
      </c>
      <c r="AB120" s="1034">
        <f t="shared" si="70"/>
        <v>112.00891614979692</v>
      </c>
      <c r="AC120" s="1035">
        <f t="shared" si="71"/>
        <v>0</v>
      </c>
      <c r="AD120" s="1034">
        <f t="shared" si="72"/>
        <v>3454.8741003732525</v>
      </c>
      <c r="AE120" s="1034">
        <f t="shared" si="73"/>
        <v>171.39236303237612</v>
      </c>
      <c r="AF120" s="1036">
        <f t="shared" si="74"/>
        <v>114.26157535491741</v>
      </c>
      <c r="AG120" s="104"/>
      <c r="AH120" s="1031">
        <f>'Recycling - Case 1'!AM210</f>
        <v>783.27913391466359</v>
      </c>
      <c r="AI120" s="1032">
        <f>Parameters!S221</f>
        <v>0.71500000000000008</v>
      </c>
      <c r="AJ120" s="1033">
        <f t="shared" si="75"/>
        <v>0.4</v>
      </c>
      <c r="AK120" s="1034">
        <f t="shared" si="76"/>
        <v>112.00891614979692</v>
      </c>
      <c r="AL120" s="1034">
        <f t="shared" si="77"/>
        <v>112.00891614979692</v>
      </c>
      <c r="AM120" s="1035">
        <f t="shared" si="78"/>
        <v>0</v>
      </c>
      <c r="AN120" s="1034">
        <f t="shared" si="79"/>
        <v>3454.8741003732525</v>
      </c>
      <c r="AO120" s="1034">
        <f t="shared" si="80"/>
        <v>171.39236303237612</v>
      </c>
      <c r="AP120" s="1036">
        <f t="shared" si="81"/>
        <v>114.26157535491741</v>
      </c>
      <c r="AQ120" s="104"/>
      <c r="AR120" s="1068">
        <f>'Recycling - Case 1'!G130</f>
        <v>848.85557964503187</v>
      </c>
      <c r="AS120" s="1069">
        <f>Parameters!R221</f>
        <v>1</v>
      </c>
      <c r="AT120" s="1070">
        <f t="shared" si="82"/>
        <v>0.05</v>
      </c>
      <c r="AU120" s="1049">
        <f t="shared" si="83"/>
        <v>21.221389491125798</v>
      </c>
      <c r="AV120" s="1049">
        <f t="shared" si="84"/>
        <v>21.221389491125798</v>
      </c>
      <c r="AW120" s="1050">
        <f t="shared" si="85"/>
        <v>0</v>
      </c>
      <c r="AX120" s="1049">
        <f t="shared" si="51"/>
        <v>293.2001899210365</v>
      </c>
      <c r="AY120" s="1049">
        <f t="shared" si="54"/>
        <v>16.818229752135245</v>
      </c>
      <c r="AZ120" s="1071">
        <f t="shared" si="52"/>
        <v>11.212153168090163</v>
      </c>
      <c r="BB120" s="1057">
        <f t="shared" si="86"/>
        <v>197.59425347836381</v>
      </c>
      <c r="BC120" s="1058">
        <f t="shared" si="87"/>
        <v>114.26157535491741</v>
      </c>
      <c r="BD120" s="1083">
        <f t="shared" si="101"/>
        <v>11.212153168090163</v>
      </c>
      <c r="BE120" s="1058">
        <f t="shared" si="60"/>
        <v>323.06798200137138</v>
      </c>
      <c r="BF120" s="1059">
        <v>0</v>
      </c>
      <c r="BG120" s="1076">
        <f t="shared" si="88"/>
        <v>323.06798200137138</v>
      </c>
      <c r="BI120" s="1057">
        <f t="shared" si="89"/>
        <v>197.59425347836381</v>
      </c>
      <c r="BJ120" s="1058">
        <f t="shared" si="90"/>
        <v>114.26157535491741</v>
      </c>
      <c r="BK120" s="1083">
        <f t="shared" si="91"/>
        <v>11.212153168090163</v>
      </c>
      <c r="BL120" s="1058">
        <f t="shared" si="61"/>
        <v>323.06798200137138</v>
      </c>
      <c r="BM120" s="1059">
        <v>0</v>
      </c>
      <c r="BN120" s="1076">
        <f t="shared" si="92"/>
        <v>323.06798200137138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39" t="s">
        <v>315</v>
      </c>
      <c r="E1" s="1172" t="s">
        <v>320</v>
      </c>
      <c r="F1" s="104"/>
      <c r="G1" s="104"/>
    </row>
    <row r="2" spans="1:66">
      <c r="A2" s="150"/>
      <c r="B2" s="99"/>
      <c r="C2" s="99"/>
      <c r="D2" s="104"/>
      <c r="E2" s="130"/>
      <c r="F2" s="104"/>
      <c r="G2" s="104"/>
    </row>
    <row r="3" spans="1:66">
      <c r="A3" s="150" t="s">
        <v>316</v>
      </c>
      <c r="B3" s="99"/>
      <c r="C3" s="99" t="str">
        <f>Parameters!D94</f>
        <v>varies</v>
      </c>
      <c r="D3" s="941">
        <v>0.4</v>
      </c>
      <c r="E3" s="1173">
        <f>Parameters!F94</f>
        <v>0.05</v>
      </c>
      <c r="F3" s="104"/>
      <c r="G3" s="104"/>
    </row>
    <row r="4" spans="1:66">
      <c r="A4" s="150" t="s">
        <v>260</v>
      </c>
      <c r="B4" s="99"/>
      <c r="C4" s="99">
        <f>Parameters!D95</f>
        <v>0.5</v>
      </c>
      <c r="D4" s="99">
        <f>Parameters!E95</f>
        <v>0.5</v>
      </c>
      <c r="E4" s="1173">
        <f>Parameters!F95</f>
        <v>0.5</v>
      </c>
      <c r="F4" s="104"/>
      <c r="G4" s="104"/>
    </row>
    <row r="5" spans="1:66">
      <c r="A5" s="174" t="s">
        <v>257</v>
      </c>
      <c r="B5" s="175"/>
      <c r="C5" s="175">
        <f>Parameters!D96</f>
        <v>0.05</v>
      </c>
      <c r="D5" s="99">
        <f>Parameters!E96</f>
        <v>0.05</v>
      </c>
      <c r="E5" s="1173">
        <f>Parameters!F96</f>
        <v>0.06</v>
      </c>
      <c r="F5" s="104"/>
      <c r="G5" s="104"/>
    </row>
    <row r="6" spans="1:66">
      <c r="A6" s="150" t="s">
        <v>258</v>
      </c>
      <c r="B6" s="107" t="s">
        <v>211</v>
      </c>
      <c r="C6" s="107">
        <f>Parameters!D97</f>
        <v>13.862943611198904</v>
      </c>
      <c r="D6" s="106">
        <f>Parameters!E97</f>
        <v>13.862943611198904</v>
      </c>
      <c r="E6" s="1174">
        <f>Parameters!F97</f>
        <v>11.552453009332423</v>
      </c>
      <c r="F6" s="104"/>
      <c r="G6" s="104"/>
    </row>
    <row r="7" spans="1:66">
      <c r="A7" s="150" t="s">
        <v>255</v>
      </c>
      <c r="B7" s="107" t="s">
        <v>256</v>
      </c>
      <c r="C7" s="107">
        <f>Parameters!D98</f>
        <v>6</v>
      </c>
      <c r="D7" s="99">
        <f>Parameters!E98</f>
        <v>6</v>
      </c>
      <c r="E7" s="1173">
        <f>Parameters!F98</f>
        <v>6</v>
      </c>
      <c r="F7" s="104"/>
      <c r="G7" s="104"/>
    </row>
    <row r="8" spans="1:66">
      <c r="A8" s="151" t="s">
        <v>248</v>
      </c>
      <c r="B8" s="108" t="s">
        <v>249</v>
      </c>
      <c r="C8" s="108">
        <f>Parameters!D99</f>
        <v>0.95122942450071402</v>
      </c>
      <c r="D8" s="158">
        <f>Parameters!E99</f>
        <v>0.95122942450071402</v>
      </c>
      <c r="E8" s="1175">
        <f>Parameters!F99</f>
        <v>0.94176453358424872</v>
      </c>
      <c r="F8" s="104"/>
      <c r="G8" s="104"/>
    </row>
    <row r="9" spans="1:66">
      <c r="A9" s="151" t="s">
        <v>250</v>
      </c>
      <c r="B9" s="108" t="s">
        <v>251</v>
      </c>
      <c r="C9" s="108">
        <f>Parameters!D100</f>
        <v>13</v>
      </c>
      <c r="D9" s="99">
        <f>Parameters!E100</f>
        <v>13</v>
      </c>
      <c r="E9" s="1173">
        <f>Parameters!F100</f>
        <v>13</v>
      </c>
      <c r="F9" s="104"/>
      <c r="G9" s="104"/>
      <c r="H9" s="561"/>
    </row>
    <row r="10" spans="1:66">
      <c r="A10" s="151" t="s">
        <v>252</v>
      </c>
      <c r="B10" s="108" t="s">
        <v>253</v>
      </c>
      <c r="C10" s="108">
        <f>Parameters!D101</f>
        <v>1</v>
      </c>
      <c r="D10" s="99">
        <f>Parameters!E101</f>
        <v>1</v>
      </c>
      <c r="E10" s="1173">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3">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4">
        <f>'Waste Summary 2017 SASOW'!L29</f>
        <v>0.13527885904981399</v>
      </c>
      <c r="E12" s="1173"/>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4">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35" t="s">
        <v>319</v>
      </c>
      <c r="BC13" s="1736"/>
      <c r="BD13" s="1736"/>
      <c r="BE13" s="1736"/>
      <c r="BF13" s="1736"/>
      <c r="BG13" s="1737"/>
      <c r="BI13" s="1735" t="s">
        <v>319</v>
      </c>
      <c r="BJ13" s="1736"/>
      <c r="BK13" s="1736"/>
      <c r="BL13" s="1736"/>
      <c r="BM13" s="1736"/>
      <c r="BN13" s="1737"/>
    </row>
    <row r="14" spans="1:66" ht="15.75" thickBot="1">
      <c r="A14" s="152" t="s">
        <v>728</v>
      </c>
      <c r="B14" s="163"/>
      <c r="C14" s="163"/>
      <c r="D14" s="683">
        <f>'Waste Summary 2017 SASOW'!$L$26</f>
        <v>6.9875113374971584E-2</v>
      </c>
      <c r="E14" s="1445"/>
      <c r="F14" s="10"/>
      <c r="G14" s="10"/>
      <c r="H14" s="10"/>
      <c r="I14" s="10"/>
      <c r="J14" s="10"/>
      <c r="K14" s="10"/>
      <c r="L14" s="10"/>
      <c r="M14" s="10"/>
      <c r="N14" s="231"/>
      <c r="O14" s="10"/>
      <c r="P14" s="10"/>
      <c r="Q14" s="10"/>
      <c r="R14" s="10"/>
      <c r="S14" s="10"/>
      <c r="T14" s="10"/>
      <c r="U14" s="10"/>
      <c r="V14" s="10"/>
      <c r="W14" s="10"/>
      <c r="X14" s="2"/>
      <c r="AG14" s="10"/>
      <c r="AH14" s="2"/>
      <c r="AR14" s="2"/>
      <c r="BB14" s="1186"/>
      <c r="BC14" s="168"/>
      <c r="BD14" s="168"/>
      <c r="BE14" s="168"/>
      <c r="BF14" s="168"/>
      <c r="BG14" s="1187"/>
      <c r="BI14" s="1186"/>
      <c r="BJ14" s="168"/>
      <c r="BK14" s="168"/>
      <c r="BL14" s="168"/>
      <c r="BM14" s="168"/>
      <c r="BN14" s="1187"/>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6"/>
      <c r="BC15" s="168"/>
      <c r="BD15" s="168"/>
      <c r="BE15" s="168"/>
      <c r="BF15" s="168"/>
      <c r="BG15" s="1187"/>
      <c r="BI15" s="1186"/>
      <c r="BJ15" s="168"/>
      <c r="BK15" s="168"/>
      <c r="BL15" s="168"/>
      <c r="BM15" s="168"/>
      <c r="BN15" s="1187"/>
    </row>
    <row r="16" spans="1:66" ht="115.15" customHeight="1">
      <c r="A16" s="1965" t="s">
        <v>217</v>
      </c>
      <c r="B16" s="1968" t="s">
        <v>218</v>
      </c>
      <c r="C16" s="1968" t="s">
        <v>219</v>
      </c>
      <c r="D16" s="1968" t="s">
        <v>220</v>
      </c>
      <c r="E16" s="1965" t="s">
        <v>221</v>
      </c>
      <c r="F16" s="1970" t="s">
        <v>85</v>
      </c>
      <c r="G16" s="1970" t="s">
        <v>87</v>
      </c>
      <c r="H16" s="1970" t="s">
        <v>222</v>
      </c>
      <c r="I16" s="1970" t="s">
        <v>115</v>
      </c>
      <c r="J16" s="1970" t="s">
        <v>223</v>
      </c>
      <c r="K16" s="1970" t="s">
        <v>224</v>
      </c>
      <c r="L16" s="1963" t="s">
        <v>225</v>
      </c>
      <c r="M16" s="294"/>
      <c r="N16" s="213" t="s">
        <v>235</v>
      </c>
      <c r="O16" s="214" t="s">
        <v>22</v>
      </c>
      <c r="P16" s="214" t="s">
        <v>236</v>
      </c>
      <c r="Q16" s="215" t="s">
        <v>237</v>
      </c>
      <c r="R16" s="215" t="s">
        <v>238</v>
      </c>
      <c r="S16" s="215" t="s">
        <v>239</v>
      </c>
      <c r="T16" s="215" t="s">
        <v>240</v>
      </c>
      <c r="U16" s="215" t="s">
        <v>241</v>
      </c>
      <c r="V16" s="221" t="s">
        <v>300</v>
      </c>
      <c r="W16" s="1972" t="s">
        <v>729</v>
      </c>
      <c r="X16" s="213" t="s">
        <v>726</v>
      </c>
      <c r="Y16" s="214" t="s">
        <v>22</v>
      </c>
      <c r="Z16" s="214" t="s">
        <v>236</v>
      </c>
      <c r="AA16" s="215" t="s">
        <v>237</v>
      </c>
      <c r="AB16" s="215" t="s">
        <v>238</v>
      </c>
      <c r="AC16" s="215" t="s">
        <v>239</v>
      </c>
      <c r="AD16" s="215" t="s">
        <v>240</v>
      </c>
      <c r="AE16" s="215" t="s">
        <v>241</v>
      </c>
      <c r="AF16" s="221" t="s">
        <v>300</v>
      </c>
      <c r="AG16" s="1746" t="s">
        <v>729</v>
      </c>
      <c r="AH16" s="1450"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5" t="s">
        <v>267</v>
      </c>
      <c r="BC16" s="1957" t="s">
        <v>315</v>
      </c>
      <c r="BD16" s="1959" t="s">
        <v>320</v>
      </c>
      <c r="BE16" s="1957" t="s">
        <v>225</v>
      </c>
      <c r="BF16" s="1957" t="s">
        <v>321</v>
      </c>
      <c r="BG16" s="1961" t="s">
        <v>322</v>
      </c>
      <c r="BI16" s="1955" t="s">
        <v>267</v>
      </c>
      <c r="BJ16" s="1957" t="s">
        <v>315</v>
      </c>
      <c r="BK16" s="1959" t="s">
        <v>320</v>
      </c>
      <c r="BL16" s="1957" t="s">
        <v>225</v>
      </c>
      <c r="BM16" s="1957" t="s">
        <v>321</v>
      </c>
      <c r="BN16" s="1961" t="s">
        <v>322</v>
      </c>
    </row>
    <row r="17" spans="1:66" ht="24.75">
      <c r="A17" s="1966"/>
      <c r="B17" s="1969"/>
      <c r="C17" s="1969"/>
      <c r="D17" s="1969"/>
      <c r="E17" s="1966"/>
      <c r="F17" s="1971"/>
      <c r="G17" s="1971"/>
      <c r="H17" s="1971"/>
      <c r="I17" s="1971"/>
      <c r="J17" s="1971"/>
      <c r="K17" s="1971"/>
      <c r="L17" s="1964"/>
      <c r="M17" s="295"/>
      <c r="N17" s="222" t="s">
        <v>242</v>
      </c>
      <c r="O17" s="223" t="s">
        <v>22</v>
      </c>
      <c r="P17" s="223" t="s">
        <v>236</v>
      </c>
      <c r="Q17" s="224" t="s">
        <v>243</v>
      </c>
      <c r="R17" s="224" t="s">
        <v>244</v>
      </c>
      <c r="S17" s="224" t="s">
        <v>245</v>
      </c>
      <c r="T17" s="224" t="s">
        <v>301</v>
      </c>
      <c r="U17" s="224" t="s">
        <v>302</v>
      </c>
      <c r="V17" s="225" t="s">
        <v>246</v>
      </c>
      <c r="W17" s="1973"/>
      <c r="X17" s="222" t="s">
        <v>242</v>
      </c>
      <c r="Y17" s="223" t="s">
        <v>22</v>
      </c>
      <c r="Z17" s="223" t="s">
        <v>236</v>
      </c>
      <c r="AA17" s="224" t="s">
        <v>243</v>
      </c>
      <c r="AB17" s="224" t="s">
        <v>244</v>
      </c>
      <c r="AC17" s="224" t="s">
        <v>245</v>
      </c>
      <c r="AD17" s="224" t="s">
        <v>301</v>
      </c>
      <c r="AE17" s="224" t="s">
        <v>302</v>
      </c>
      <c r="AF17" s="225" t="s">
        <v>246</v>
      </c>
      <c r="AG17" s="1953"/>
      <c r="AH17" s="1451"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6"/>
      <c r="BC17" s="1958"/>
      <c r="BD17" s="1960"/>
      <c r="BE17" s="1958"/>
      <c r="BF17" s="1958"/>
      <c r="BG17" s="1962"/>
      <c r="BI17" s="1956"/>
      <c r="BJ17" s="1958"/>
      <c r="BK17" s="1960"/>
      <c r="BL17" s="1958"/>
      <c r="BM17" s="1958"/>
      <c r="BN17" s="1962"/>
    </row>
    <row r="18" spans="1:66" ht="15.75" thickBot="1">
      <c r="A18" s="1967"/>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3"/>
      <c r="X18" s="217" t="s">
        <v>228</v>
      </c>
      <c r="Y18" s="218" t="s">
        <v>41</v>
      </c>
      <c r="Z18" s="218" t="s">
        <v>41</v>
      </c>
      <c r="AA18" s="219" t="s">
        <v>228</v>
      </c>
      <c r="AB18" s="219" t="s">
        <v>228</v>
      </c>
      <c r="AC18" s="219" t="s">
        <v>228</v>
      </c>
      <c r="AD18" s="219" t="s">
        <v>228</v>
      </c>
      <c r="AE18" s="219" t="s">
        <v>228</v>
      </c>
      <c r="AF18" s="220" t="s">
        <v>228</v>
      </c>
      <c r="AG18" s="1954"/>
      <c r="AH18" s="1452"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915">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915">
        <f t="shared" si="15"/>
        <v>9.3640777725485727</v>
      </c>
      <c r="AG32" s="1448">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915">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48">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915">
        <f t="shared" si="15"/>
        <v>18.84996586082281</v>
      </c>
      <c r="AG33" s="1448">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 t="shared" si="20"/>
        <v>0</v>
      </c>
      <c r="AN33" s="906">
        <f t="shared" si="21"/>
        <v>879.82401535960275</v>
      </c>
      <c r="AO33" s="906">
        <f t="shared" si="22"/>
        <v>28.274948791234216</v>
      </c>
      <c r="AP33" s="915">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48">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915">
        <f t="shared" si="15"/>
        <v>28.60634904478697</v>
      </c>
      <c r="AG34" s="1448">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915">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48">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915">
        <f t="shared" si="15"/>
        <v>38.734535622950872</v>
      </c>
      <c r="AG35" s="1448">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915">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48">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915">
        <f t="shared" si="15"/>
        <v>49.074310934930338</v>
      </c>
      <c r="AG36" s="1448">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915">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48">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915">
        <f t="shared" si="15"/>
        <v>59.452564886624224</v>
      </c>
      <c r="AG37" s="1448">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915">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48">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915">
        <f t="shared" si="15"/>
        <v>70.243785928404691</v>
      </c>
      <c r="AG38" s="1448">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915">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48">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915">
        <f t="shared" si="15"/>
        <v>81.077350939863791</v>
      </c>
      <c r="AG39" s="1448">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915">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48">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915">
        <f t="shared" si="15"/>
        <v>92.055005659246248</v>
      </c>
      <c r="AG40" s="1448">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915">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48">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915">
        <f t="shared" si="15"/>
        <v>103.28099766293691</v>
      </c>
      <c r="AG41" s="1448">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915">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48">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915">
        <f t="shared" si="15"/>
        <v>114.63195606672234</v>
      </c>
      <c r="AG42" s="1448">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915">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48">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915">
        <f t="shared" si="15"/>
        <v>125.70050463111039</v>
      </c>
      <c r="AG43" s="1448">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915">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48">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915">
        <f t="shared" si="15"/>
        <v>136.99089265868122</v>
      </c>
      <c r="AG44" s="1448">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915">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48">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915">
        <f t="shared" si="15"/>
        <v>148.79524106097486</v>
      </c>
      <c r="AG45" s="1448">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915">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48">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915">
        <f t="shared" si="15"/>
        <v>160.3372962145616</v>
      </c>
      <c r="AG46" s="1448">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915">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48">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915">
        <f t="shared" si="15"/>
        <v>171.73939556464839</v>
      </c>
      <c r="AG47" s="1448">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915">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48">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915">
        <f t="shared" si="15"/>
        <v>182.56733222173861</v>
      </c>
      <c r="AG48" s="1448">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915">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48">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915">
        <f t="shared" si="15"/>
        <v>193.44609110039212</v>
      </c>
      <c r="AG49" s="1448">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915">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48">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915">
        <f t="shared" si="15"/>
        <v>204.54414961208317</v>
      </c>
      <c r="AG50" s="1448">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915">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48">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915">
        <f t="shared" si="15"/>
        <v>216.46032341872123</v>
      </c>
      <c r="AG51" s="1448">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915">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48">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915">
        <f t="shared" si="15"/>
        <v>228.96890636598684</v>
      </c>
      <c r="AG52" s="1448">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915">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48">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915">
        <f t="shared" si="15"/>
        <v>240.77900761269916</v>
      </c>
      <c r="AG53" s="1448">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915">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48">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915">
        <f t="shared" si="15"/>
        <v>251.58884204027379</v>
      </c>
      <c r="AG54" s="1448">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915">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48">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915">
        <f t="shared" si="15"/>
        <v>263.02146603454077</v>
      </c>
      <c r="AG55" s="1448">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915">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48">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915">
        <f t="shared" si="15"/>
        <v>273.60935933985888</v>
      </c>
      <c r="AG56" s="1448">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915">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48">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915">
        <f t="shared" si="15"/>
        <v>283.6850511159094</v>
      </c>
      <c r="AG57" s="1448">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915">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48">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915">
        <f t="shared" si="15"/>
        <v>293.76133312416624</v>
      </c>
      <c r="AG58" s="1448">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915">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48">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915">
        <f t="shared" si="15"/>
        <v>304.35051489368533</v>
      </c>
      <c r="AG59" s="1448">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915">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48">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915">
        <f t="shared" si="15"/>
        <v>315.0199427756362</v>
      </c>
      <c r="AG60" s="1448">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915">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48">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915">
        <f t="shared" si="15"/>
        <v>325.08794056662492</v>
      </c>
      <c r="AG61" s="1448">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915">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48">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915">
        <f t="shared" si="15"/>
        <v>334.40596567053211</v>
      </c>
      <c r="AG62" s="1448">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915">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48">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915">
        <f t="shared" si="15"/>
        <v>342.73158931707127</v>
      </c>
      <c r="AG63" s="1448">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915">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48">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915">
        <f t="shared" si="15"/>
        <v>350.95504260935667</v>
      </c>
      <c r="AG64" s="1448">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915">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48">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915">
        <f t="shared" si="15"/>
        <v>359.57547105823437</v>
      </c>
      <c r="AG65" s="1448">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915">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48">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915">
        <f t="shared" si="15"/>
        <v>368.57331301474466</v>
      </c>
      <c r="AG66" s="1448">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915">
        <f t="shared" si="23"/>
        <v>368.57331301474466</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48">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915">
        <f t="shared" si="15"/>
        <v>378.27331018355466</v>
      </c>
      <c r="AG67" s="1448">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915">
        <f t="shared" si="23"/>
        <v>378.27331018355466</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48">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915">
        <f t="shared" si="15"/>
        <v>388.21979726742819</v>
      </c>
      <c r="AG68" s="1448">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915">
        <f t="shared" si="23"/>
        <v>388.21979726742819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48">
        <f t="shared" si="8"/>
        <v>0.13527885904981399</v>
      </c>
      <c r="X69" s="914">
        <f>'Baseline data (from input)'!AS55*W69</f>
        <v>6285.0199437970532</v>
      </c>
      <c r="Y69" s="908">
        <f>Parameters!S170</f>
        <v>0.71500000000000008</v>
      </c>
      <c r="Z69" s="908">
        <f t="shared" si="9"/>
        <v>0.4</v>
      </c>
      <c r="AA69" s="906">
        <f t="shared" si="10"/>
        <v>898.75785196297875</v>
      </c>
      <c r="AB69" s="906">
        <f t="shared" si="11"/>
        <v>898.75785196297875</v>
      </c>
      <c r="AC69" s="286">
        <f t="shared" si="12"/>
        <v>0</v>
      </c>
      <c r="AD69" s="906">
        <f t="shared" si="13"/>
        <v>12537.571695398445</v>
      </c>
      <c r="AE69" s="906">
        <f t="shared" si="14"/>
        <v>596.73474626938241</v>
      </c>
      <c r="AF69" s="915">
        <f t="shared" si="15"/>
        <v>397.82316417958828</v>
      </c>
      <c r="AG69" s="1448">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920">
        <f t="shared" si="23"/>
        <v>397.82316417958828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3">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7">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4">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58">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3">
        <f t="shared" si="31"/>
        <v>352.50382234400405</v>
      </c>
      <c r="BC71" s="1604">
        <f t="shared" si="32"/>
        <v>418.2113531506368</v>
      </c>
      <c r="BD71" s="1605">
        <f t="shared" ref="BD71:BD87" si="48">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4">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5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3">
        <f t="shared" si="31"/>
        <v>365.04160146921089</v>
      </c>
      <c r="BC72" s="1604">
        <f t="shared" si="32"/>
        <v>429.08635544976073</v>
      </c>
      <c r="BD72" s="1605">
        <f t="shared" si="48"/>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4">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3">
        <f t="shared" si="31"/>
        <v>377.380320424339</v>
      </c>
      <c r="BC73" s="1604">
        <f t="shared" si="32"/>
        <v>440.58813938995121</v>
      </c>
      <c r="BD73" s="1605">
        <f t="shared" si="48"/>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4">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8">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3">
        <f t="shared" si="31"/>
        <v>389.50320822466421</v>
      </c>
      <c r="BC74" s="1604">
        <f t="shared" si="32"/>
        <v>449.33471885423859</v>
      </c>
      <c r="BD74" s="1605">
        <f t="shared" si="48"/>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4">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8">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3">
        <f t="shared" si="31"/>
        <v>401.39828370560582</v>
      </c>
      <c r="BC75" s="1604">
        <f t="shared" si="32"/>
        <v>455.80540481488362</v>
      </c>
      <c r="BD75" s="1605">
        <f t="shared" si="48"/>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4">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8">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3">
        <f t="shared" si="31"/>
        <v>413.06606569957484</v>
      </c>
      <c r="BC76" s="1604">
        <f t="shared" si="32"/>
        <v>460.13310664023578</v>
      </c>
      <c r="BD76" s="1605">
        <f t="shared" si="48"/>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4">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8">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3">
        <f t="shared" si="31"/>
        <v>424.51763944073804</v>
      </c>
      <c r="BC77" s="1604">
        <f t="shared" si="32"/>
        <v>462.30164861039526</v>
      </c>
      <c r="BD77" s="1605">
        <f t="shared" si="48"/>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4">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8">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3">
        <f t="shared" si="31"/>
        <v>435.75891565885144</v>
      </c>
      <c r="BC78" s="1604">
        <f t="shared" si="32"/>
        <v>462.14243125415283</v>
      </c>
      <c r="BD78" s="1605">
        <f t="shared" si="48"/>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4">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8">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3">
        <f t="shared" si="31"/>
        <v>446.80677050108471</v>
      </c>
      <c r="BC79" s="1604">
        <f t="shared" si="32"/>
        <v>459.13306952818652</v>
      </c>
      <c r="BD79" s="1605">
        <f t="shared" si="48"/>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4">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8">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3">
        <f t="shared" si="31"/>
        <v>457.66467940490338</v>
      </c>
      <c r="BC80" s="1604">
        <f t="shared" si="32"/>
        <v>452.53335460608736</v>
      </c>
      <c r="BD80" s="1605">
        <f t="shared" si="48"/>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4">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8">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3">
        <f t="shared" si="31"/>
        <v>465.58393089502232</v>
      </c>
      <c r="BC81" s="1604">
        <f t="shared" si="32"/>
        <v>443.27742511609495</v>
      </c>
      <c r="BD81" s="1605">
        <f t="shared" si="48"/>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5">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5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3">
        <f t="shared" si="31"/>
        <v>471.51055951772577</v>
      </c>
      <c r="BC82" s="1604">
        <f t="shared" si="32"/>
        <v>431.40785228448499</v>
      </c>
      <c r="BD82" s="1605">
        <f t="shared" si="48"/>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5">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5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3">
        <f t="shared" si="31"/>
        <v>474.78721249604229</v>
      </c>
      <c r="BC83" s="1604">
        <f t="shared" si="32"/>
        <v>416.85758956150511</v>
      </c>
      <c r="BD83" s="1605">
        <f t="shared" si="48"/>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5">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59">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3">
        <f t="shared" si="31"/>
        <v>475.71077220994249</v>
      </c>
      <c r="BC84" s="1604">
        <f t="shared" si="32"/>
        <v>403.18657895653814</v>
      </c>
      <c r="BD84" s="1605">
        <f t="shared" si="48"/>
        <v>4.7452171293671848</v>
      </c>
      <c r="BE84" s="1604">
        <f t="shared" ref="BE84:BE120" si="54">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55">SUM(BI84:BK84)</f>
        <v>883.64256829584781</v>
      </c>
      <c r="BM84" s="1606">
        <v>0</v>
      </c>
      <c r="BN84" s="1607">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5">
        <f t="shared" si="52"/>
        <v>2.197312110627072E-2</v>
      </c>
      <c r="X85" s="891">
        <f>'Baseline data (from input)'!AS71*W85</f>
        <v>1476.20316835363</v>
      </c>
      <c r="Y85" s="885">
        <f>Parameters!S186</f>
        <v>0.71500000000000008</v>
      </c>
      <c r="Z85" s="885">
        <f t="shared" ref="Z85:Z120" si="63">$D$3</f>
        <v>0.4</v>
      </c>
      <c r="AA85" s="884">
        <f t="shared" ref="AA85:AA120"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59">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3">
        <f t="shared" ref="BB85:BB120" si="81">V85</f>
        <v>474.45668773704853</v>
      </c>
      <c r="BC85" s="1604">
        <f t="shared" ref="BC85:BC120" si="82">AF85</f>
        <v>390.3012281152715</v>
      </c>
      <c r="BD85" s="1605">
        <f t="shared" si="48"/>
        <v>4.9551433411659982</v>
      </c>
      <c r="BE85" s="1604">
        <f t="shared" si="54"/>
        <v>869.71305919348606</v>
      </c>
      <c r="BF85" s="1606">
        <v>0</v>
      </c>
      <c r="BG85" s="1607">
        <f t="shared" ref="BG85:BG120" si="83">BE85-BF85</f>
        <v>869.71305919348606</v>
      </c>
      <c r="BI85" s="1603">
        <f t="shared" ref="BI85:BI120" si="84">V85</f>
        <v>474.45668773704853</v>
      </c>
      <c r="BJ85" s="1604">
        <f t="shared" ref="BJ85:BJ120" si="85">AP85</f>
        <v>390.3012281152715</v>
      </c>
      <c r="BK85" s="1605">
        <f t="shared" ref="BK85:BK120" si="86">AZ85</f>
        <v>4.9551433411659982</v>
      </c>
      <c r="BL85" s="1604">
        <f t="shared" si="55"/>
        <v>869.71305919348606</v>
      </c>
      <c r="BM85" s="1606">
        <v>0</v>
      </c>
      <c r="BN85" s="1607">
        <f t="shared" ref="BN85:BN120" si="87">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5">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59">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3">
        <f t="shared" si="81"/>
        <v>471.19383124565587</v>
      </c>
      <c r="BC86" s="1604">
        <f t="shared" si="82"/>
        <v>378.12956244511162</v>
      </c>
      <c r="BD86" s="1605">
        <f t="shared" si="48"/>
        <v>5.1528444021078155</v>
      </c>
      <c r="BE86" s="1604">
        <f t="shared" si="54"/>
        <v>854.47623809287529</v>
      </c>
      <c r="BF86" s="1606">
        <v>0</v>
      </c>
      <c r="BG86" s="1607">
        <f t="shared" si="83"/>
        <v>854.47623809287529</v>
      </c>
      <c r="BI86" s="1603">
        <f t="shared" si="84"/>
        <v>471.19383124565587</v>
      </c>
      <c r="BJ86" s="1604">
        <f t="shared" si="85"/>
        <v>378.12956244511162</v>
      </c>
      <c r="BK86" s="1605">
        <f t="shared" si="86"/>
        <v>5.1528444021078155</v>
      </c>
      <c r="BL86" s="1604">
        <f t="shared" si="55"/>
        <v>854.47623809287529</v>
      </c>
      <c r="BM86" s="1606">
        <v>0</v>
      </c>
      <c r="BN86" s="1607">
        <f t="shared" si="87"/>
        <v>854.47623809287529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6">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10940.456135133396</v>
      </c>
      <c r="AE87" s="894">
        <f t="shared" si="68"/>
        <v>549.90342073558929</v>
      </c>
      <c r="AF87" s="898">
        <f t="shared" si="69"/>
        <v>366.60228049039284</v>
      </c>
      <c r="AG87" s="1460">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10940.456135133396</v>
      </c>
      <c r="AO87" s="894">
        <f t="shared" si="75"/>
        <v>549.90342073558929</v>
      </c>
      <c r="AP87" s="898">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08">
        <f t="shared" si="81"/>
        <v>466.08505262809604</v>
      </c>
      <c r="BC87" s="1609">
        <f t="shared" si="82"/>
        <v>366.60228049039284</v>
      </c>
      <c r="BD87" s="1610">
        <f t="shared" si="48"/>
        <v>5.3390322495547968</v>
      </c>
      <c r="BE87" s="1609">
        <f t="shared" si="54"/>
        <v>838.02636536804357</v>
      </c>
      <c r="BF87" s="1611">
        <v>0</v>
      </c>
      <c r="BG87" s="1612">
        <f t="shared" si="83"/>
        <v>838.02636536804357</v>
      </c>
      <c r="BI87" s="1608">
        <f t="shared" si="84"/>
        <v>466.08505262809604</v>
      </c>
      <c r="BJ87" s="1609">
        <f t="shared" si="85"/>
        <v>366.60228049039284</v>
      </c>
      <c r="BK87" s="1610">
        <f t="shared" si="86"/>
        <v>5.3390322495547968</v>
      </c>
      <c r="BL87" s="1609">
        <f t="shared" si="55"/>
        <v>838.02636536804357</v>
      </c>
      <c r="BM87" s="1611">
        <v>0</v>
      </c>
      <c r="BN87" s="1612">
        <f t="shared" si="87"/>
        <v>838.02636536804357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1225.3415122615597</v>
      </c>
      <c r="Y88" s="853">
        <f>Parameters!S223</f>
        <v>0.71500000000000008</v>
      </c>
      <c r="Z88" s="853">
        <f t="shared" si="63"/>
        <v>0.4</v>
      </c>
      <c r="AA88" s="854">
        <f t="shared" si="64"/>
        <v>175.22383625340308</v>
      </c>
      <c r="AB88" s="854">
        <f t="shared" si="65"/>
        <v>175.22383625340308</v>
      </c>
      <c r="AC88" s="855">
        <f t="shared" si="66"/>
        <v>0</v>
      </c>
      <c r="AD88" s="854">
        <f t="shared" si="67"/>
        <v>10582.107629451648</v>
      </c>
      <c r="AE88" s="854">
        <f t="shared" si="68"/>
        <v>533.57234193514978</v>
      </c>
      <c r="AF88" s="856">
        <f t="shared" si="69"/>
        <v>355.71489462343317</v>
      </c>
      <c r="AH88" s="852">
        <f>'Recycling - Case 2'!AM178</f>
        <v>1225.3415122615597</v>
      </c>
      <c r="AI88" s="853">
        <f>Parameters!S223</f>
        <v>0.71500000000000008</v>
      </c>
      <c r="AJ88" s="853">
        <f t="shared" si="70"/>
        <v>0.4</v>
      </c>
      <c r="AK88" s="854">
        <f t="shared" si="71"/>
        <v>175.22383625340308</v>
      </c>
      <c r="AL88" s="854">
        <f t="shared" si="72"/>
        <v>175.22383625340308</v>
      </c>
      <c r="AM88" s="855">
        <f t="shared" si="73"/>
        <v>0</v>
      </c>
      <c r="AN88" s="854">
        <f t="shared" si="74"/>
        <v>10582.107629451648</v>
      </c>
      <c r="AO88" s="854">
        <f t="shared" si="75"/>
        <v>533.57234193514978</v>
      </c>
      <c r="AP88" s="856">
        <f t="shared" si="76"/>
        <v>355.71489462343317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AP88</f>
        <v>355.71489462343317</v>
      </c>
      <c r="BK88" s="1081">
        <f t="shared" si="86"/>
        <v>5.514377360864759</v>
      </c>
      <c r="BL88" s="1053">
        <f t="shared" si="55"/>
        <v>820.5169947820342</v>
      </c>
      <c r="BM88" s="1054">
        <v>0</v>
      </c>
      <c r="BN88" s="1074">
        <f t="shared" si="87"/>
        <v>820.5169947820342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868.83370934356458</v>
      </c>
      <c r="Y89" s="853">
        <f>Parameters!S224</f>
        <v>0.71500000000000008</v>
      </c>
      <c r="Z89" s="853">
        <f t="shared" si="63"/>
        <v>0.4</v>
      </c>
      <c r="AA89" s="854">
        <f t="shared" si="64"/>
        <v>124.24322043612976</v>
      </c>
      <c r="AB89" s="854">
        <f t="shared" si="65"/>
        <v>124.24322043612976</v>
      </c>
      <c r="AC89" s="855">
        <f t="shared" si="66"/>
        <v>0</v>
      </c>
      <c r="AD89" s="854">
        <f t="shared" si="67"/>
        <v>10190.255370804036</v>
      </c>
      <c r="AE89" s="854">
        <f t="shared" si="68"/>
        <v>516.09547908374179</v>
      </c>
      <c r="AF89" s="856">
        <f t="shared" si="69"/>
        <v>344.06365272249451</v>
      </c>
      <c r="AH89" s="852">
        <f>'Recycling - Case 2'!AM179</f>
        <v>868.83370934356458</v>
      </c>
      <c r="AI89" s="853">
        <f>Parameters!S224</f>
        <v>0.71500000000000008</v>
      </c>
      <c r="AJ89" s="853">
        <f t="shared" si="70"/>
        <v>0.4</v>
      </c>
      <c r="AK89" s="854">
        <f t="shared" si="71"/>
        <v>124.24322043612976</v>
      </c>
      <c r="AL89" s="854">
        <f t="shared" si="72"/>
        <v>124.24322043612976</v>
      </c>
      <c r="AM89" s="855">
        <f t="shared" si="73"/>
        <v>0</v>
      </c>
      <c r="AN89" s="854">
        <f t="shared" si="74"/>
        <v>10190.255370804036</v>
      </c>
      <c r="AO89" s="854">
        <f t="shared" si="75"/>
        <v>516.09547908374179</v>
      </c>
      <c r="AP89" s="856">
        <f t="shared" si="76"/>
        <v>344.06365272249451</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344.06365272249451</v>
      </c>
      <c r="BD89" s="1082">
        <f t="shared" ref="BD89:BD120" si="90">AZ89</f>
        <v>5.6975664484189794</v>
      </c>
      <c r="BE89" s="1056">
        <f t="shared" si="54"/>
        <v>801.89995091572371</v>
      </c>
      <c r="BF89" s="167">
        <v>0</v>
      </c>
      <c r="BG89" s="1075">
        <f t="shared" si="83"/>
        <v>801.89995091572371</v>
      </c>
      <c r="BI89" s="1055">
        <f t="shared" si="84"/>
        <v>452.13873174481023</v>
      </c>
      <c r="BJ89" s="1056">
        <f t="shared" si="85"/>
        <v>344.06365272249451</v>
      </c>
      <c r="BK89" s="1082">
        <f t="shared" si="86"/>
        <v>5.6975664484189794</v>
      </c>
      <c r="BL89" s="1056">
        <f t="shared" si="55"/>
        <v>801.89995091572371</v>
      </c>
      <c r="BM89" s="167">
        <v>0</v>
      </c>
      <c r="BN89" s="1075">
        <f t="shared" si="87"/>
        <v>801.89995091572371</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710.35151505933902</v>
      </c>
      <c r="Y90" s="853">
        <f>Parameters!S225</f>
        <v>0.71500000000000008</v>
      </c>
      <c r="Z90" s="853">
        <f t="shared" si="63"/>
        <v>0.4</v>
      </c>
      <c r="AA90" s="854">
        <f t="shared" si="64"/>
        <v>101.58026665348551</v>
      </c>
      <c r="AB90" s="854">
        <f t="shared" si="65"/>
        <v>101.58026665348551</v>
      </c>
      <c r="AC90" s="855">
        <f t="shared" si="66"/>
        <v>0</v>
      </c>
      <c r="AD90" s="854">
        <f t="shared" si="67"/>
        <v>9794.8510185387186</v>
      </c>
      <c r="AE90" s="854">
        <f t="shared" si="68"/>
        <v>496.98461891880271</v>
      </c>
      <c r="AF90" s="856">
        <f t="shared" si="69"/>
        <v>331.32307927920181</v>
      </c>
      <c r="AH90" s="852">
        <f>'Recycling - Case 2'!AM180</f>
        <v>710.35151505933902</v>
      </c>
      <c r="AI90" s="853">
        <f>Parameters!S225</f>
        <v>0.71500000000000008</v>
      </c>
      <c r="AJ90" s="853">
        <f t="shared" si="70"/>
        <v>0.4</v>
      </c>
      <c r="AK90" s="854">
        <f t="shared" si="71"/>
        <v>101.58026665348551</v>
      </c>
      <c r="AL90" s="854">
        <f t="shared" si="72"/>
        <v>101.58026665348551</v>
      </c>
      <c r="AM90" s="855">
        <f t="shared" si="73"/>
        <v>0</v>
      </c>
      <c r="AN90" s="854">
        <f t="shared" si="74"/>
        <v>9794.8510185387186</v>
      </c>
      <c r="AO90" s="854">
        <f t="shared" si="75"/>
        <v>496.98461891880271</v>
      </c>
      <c r="AP90" s="856">
        <f t="shared" si="76"/>
        <v>331.32307927920181</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331.32307927920181</v>
      </c>
      <c r="BD90" s="1082">
        <f t="shared" si="90"/>
        <v>5.8885995123248653</v>
      </c>
      <c r="BE90" s="1056">
        <f t="shared" si="54"/>
        <v>781.98451494371977</v>
      </c>
      <c r="BF90" s="167">
        <v>0</v>
      </c>
      <c r="BG90" s="1075">
        <f t="shared" si="83"/>
        <v>781.98451494371977</v>
      </c>
      <c r="BI90" s="1055">
        <f t="shared" si="84"/>
        <v>444.77283615219312</v>
      </c>
      <c r="BJ90" s="1056">
        <f t="shared" si="85"/>
        <v>331.32307927920181</v>
      </c>
      <c r="BK90" s="1082">
        <f t="shared" si="86"/>
        <v>5.8885995123248653</v>
      </c>
      <c r="BL90" s="1056">
        <f t="shared" si="55"/>
        <v>781.98451494371977</v>
      </c>
      <c r="BM90" s="167">
        <v>0</v>
      </c>
      <c r="BN90" s="1075">
        <f t="shared" si="87"/>
        <v>781.98451494371977</v>
      </c>
    </row>
    <row r="91" spans="1:66">
      <c r="A91" s="927">
        <f>'Input data'!A121</f>
        <v>2021</v>
      </c>
      <c r="B91" s="824">
        <f>'Input data'!B121</f>
        <v>59.991580449204264</v>
      </c>
      <c r="C91" s="824">
        <f>'Recycling - Case 2'!AK101/B91</f>
        <v>382.99573336469109</v>
      </c>
      <c r="D91" s="825">
        <f>'Recycling - Case 2'!AM101</f>
        <v>0.31526187030246827</v>
      </c>
      <c r="E91" s="826">
        <f>'Recycling - Case 2'!BE101</f>
        <v>0.19716607376836848</v>
      </c>
      <c r="F91" s="826">
        <f>'Recycling - Case 2'!BF101</f>
        <v>0.2500599221803147</v>
      </c>
      <c r="G91" s="826">
        <f>'Recycling - Case 2'!BG101</f>
        <v>6.8431683110624295E-2</v>
      </c>
      <c r="H91" s="826">
        <f>'Recycling - Case 2'!BH101</f>
        <v>0</v>
      </c>
      <c r="I91" s="826">
        <f>'Recycling - Case 2'!BI101</f>
        <v>0</v>
      </c>
      <c r="J91" s="826">
        <f>'Recycling - Case 2'!BJ101</f>
        <v>0</v>
      </c>
      <c r="K91" s="826">
        <f>'Recycling - Case 2'!BK101</f>
        <v>0.48434232094069229</v>
      </c>
      <c r="L91" s="827">
        <f t="shared" si="89"/>
        <v>0.99999999999999978</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2'!AM141</f>
        <v>114.13149813973843</v>
      </c>
      <c r="Y91" s="853">
        <f>Parameters!S226</f>
        <v>0.71500000000000008</v>
      </c>
      <c r="Z91" s="853">
        <f t="shared" si="63"/>
        <v>0.4</v>
      </c>
      <c r="AA91" s="854">
        <f t="shared" si="64"/>
        <v>16.320804233982599</v>
      </c>
      <c r="AB91" s="854">
        <f t="shared" si="65"/>
        <v>16.320804233982599</v>
      </c>
      <c r="AC91" s="855">
        <f t="shared" si="66"/>
        <v>0</v>
      </c>
      <c r="AD91" s="854">
        <f t="shared" si="67"/>
        <v>9333.4713016688002</v>
      </c>
      <c r="AE91" s="854">
        <f t="shared" si="68"/>
        <v>477.70052110390077</v>
      </c>
      <c r="AF91" s="856">
        <f t="shared" si="69"/>
        <v>318.46701406926718</v>
      </c>
      <c r="AG91" s="4"/>
      <c r="AH91" s="852">
        <f>'Recycling - Case 2'!AM181</f>
        <v>114.13149813973843</v>
      </c>
      <c r="AI91" s="853">
        <f>Parameters!S226</f>
        <v>0.71500000000000008</v>
      </c>
      <c r="AJ91" s="853">
        <f t="shared" si="70"/>
        <v>0.4</v>
      </c>
      <c r="AK91" s="854">
        <f t="shared" si="71"/>
        <v>16.320804233982599</v>
      </c>
      <c r="AL91" s="854">
        <f t="shared" si="72"/>
        <v>16.320804233982599</v>
      </c>
      <c r="AM91" s="855">
        <f t="shared" si="73"/>
        <v>0</v>
      </c>
      <c r="AN91" s="854">
        <f t="shared" si="74"/>
        <v>9333.4713016688002</v>
      </c>
      <c r="AO91" s="854">
        <f t="shared" si="75"/>
        <v>477.70052110390077</v>
      </c>
      <c r="AP91" s="856">
        <f t="shared" si="76"/>
        <v>318.46701406926718</v>
      </c>
      <c r="AR91" s="1042">
        <f>'Recycling - Case 2'!G101</f>
        <v>575.62445854598354</v>
      </c>
      <c r="AS91" s="1043">
        <v>1</v>
      </c>
      <c r="AT91" s="1043">
        <f t="shared" si="77"/>
        <v>0.05</v>
      </c>
      <c r="AU91" s="1044">
        <f t="shared" si="78"/>
        <v>14.39061146364959</v>
      </c>
      <c r="AV91" s="1044">
        <f t="shared" si="79"/>
        <v>14.39061146364959</v>
      </c>
      <c r="AW91" s="1045">
        <f t="shared" si="80"/>
        <v>0</v>
      </c>
      <c r="AX91" s="1044">
        <f t="shared" si="44"/>
        <v>162.05781504938005</v>
      </c>
      <c r="AY91" s="1044">
        <f t="shared" si="49"/>
        <v>9.1312299077521164</v>
      </c>
      <c r="AZ91" s="1046">
        <f t="shared" si="47"/>
        <v>6.0874866051680776</v>
      </c>
      <c r="BA91" s="4"/>
      <c r="BB91" s="1055">
        <f t="shared" si="81"/>
        <v>436.44519342796008</v>
      </c>
      <c r="BC91" s="1056">
        <f t="shared" si="82"/>
        <v>318.46701406926718</v>
      </c>
      <c r="BD91" s="1082">
        <f t="shared" si="90"/>
        <v>6.0874866051680776</v>
      </c>
      <c r="BE91" s="1056">
        <f t="shared" si="54"/>
        <v>760.99969410239532</v>
      </c>
      <c r="BF91" s="167">
        <v>0</v>
      </c>
      <c r="BG91" s="1075">
        <f t="shared" si="83"/>
        <v>760.99969410239532</v>
      </c>
      <c r="BI91" s="1055">
        <f t="shared" si="84"/>
        <v>436.44519342796008</v>
      </c>
      <c r="BJ91" s="1056">
        <f t="shared" si="85"/>
        <v>318.46701406926718</v>
      </c>
      <c r="BK91" s="1082">
        <f t="shared" si="86"/>
        <v>6.0874866051680776</v>
      </c>
      <c r="BL91" s="1056">
        <f t="shared" si="55"/>
        <v>760.99969410239532</v>
      </c>
      <c r="BM91" s="167">
        <v>0</v>
      </c>
      <c r="BN91" s="1075">
        <f t="shared" si="87"/>
        <v>760.99969410239532</v>
      </c>
    </row>
    <row r="92" spans="1:66">
      <c r="A92" s="927">
        <f>'Input data'!A122</f>
        <v>2022</v>
      </c>
      <c r="B92" s="824">
        <f>'Input data'!B122</f>
        <v>60.682333816399378</v>
      </c>
      <c r="C92" s="824">
        <f>'Recycling - Case 2'!AK102/B92</f>
        <v>357.3809169014288</v>
      </c>
      <c r="D92" s="825">
        <f>'Recycling - Case 2'!AM102</f>
        <v>0.25693229767920933</v>
      </c>
      <c r="E92" s="826">
        <f>'Recycling - Case 2'!BE102</f>
        <v>0.18290250130037577</v>
      </c>
      <c r="F92" s="826">
        <f>'Recycling - Case 2'!BF102</f>
        <v>0.23196985347229873</v>
      </c>
      <c r="G92" s="826">
        <f>'Recycling - Case 2'!BG102</f>
        <v>7.1510507677601337E-2</v>
      </c>
      <c r="H92" s="826">
        <f>'Recycling - Case 2'!BH102</f>
        <v>0</v>
      </c>
      <c r="I92" s="826">
        <f>'Recycling - Case 2'!BI102</f>
        <v>0</v>
      </c>
      <c r="J92" s="826">
        <f>'Recycling - Case 2'!BJ102</f>
        <v>0</v>
      </c>
      <c r="K92" s="826">
        <f>'Recycling - Case 2'!BK102</f>
        <v>0.51361713754972427</v>
      </c>
      <c r="L92" s="827">
        <f t="shared" si="89"/>
        <v>1</v>
      </c>
      <c r="M92" s="4"/>
      <c r="N92" s="838">
        <f t="shared" si="56"/>
        <v>5572.0157409803969</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832">
        <f t="shared" si="57"/>
        <v>237.96357706868275</v>
      </c>
      <c r="R92" s="832">
        <f t="shared" si="58"/>
        <v>237.96357706868275</v>
      </c>
      <c r="S92" s="835">
        <f t="shared" si="59"/>
        <v>0</v>
      </c>
      <c r="T92" s="832">
        <f t="shared" si="60"/>
        <v>12683.587986840692</v>
      </c>
      <c r="U92" s="832">
        <f t="shared" si="61"/>
        <v>638.10080857321782</v>
      </c>
      <c r="V92" s="839">
        <f t="shared" si="62"/>
        <v>425.40053904881188</v>
      </c>
      <c r="W92" s="4"/>
      <c r="X92" s="852">
        <f>'Recycling - Case 2'!AM142</f>
        <v>0</v>
      </c>
      <c r="Y92" s="853">
        <f>Parameters!S227</f>
        <v>0.71500000000000008</v>
      </c>
      <c r="Z92" s="853">
        <f t="shared" si="63"/>
        <v>0.4</v>
      </c>
      <c r="AA92" s="854">
        <f t="shared" si="64"/>
        <v>0</v>
      </c>
      <c r="AB92" s="854">
        <f t="shared" si="65"/>
        <v>0</v>
      </c>
      <c r="AC92" s="855">
        <f t="shared" si="66"/>
        <v>0</v>
      </c>
      <c r="AD92" s="854">
        <f t="shared" si="67"/>
        <v>8878.2725348803433</v>
      </c>
      <c r="AE92" s="854">
        <f t="shared" si="68"/>
        <v>455.19876678845725</v>
      </c>
      <c r="AF92" s="856">
        <f t="shared" si="69"/>
        <v>303.46584452563815</v>
      </c>
      <c r="AG92" s="4"/>
      <c r="AH92" s="852">
        <f>'Recycling - Case 2'!AM182</f>
        <v>0</v>
      </c>
      <c r="AI92" s="853">
        <f>Parameters!S227</f>
        <v>0.71500000000000008</v>
      </c>
      <c r="AJ92" s="853">
        <f t="shared" si="70"/>
        <v>0.4</v>
      </c>
      <c r="AK92" s="854">
        <f t="shared" si="71"/>
        <v>0</v>
      </c>
      <c r="AL92" s="854">
        <f t="shared" si="72"/>
        <v>0</v>
      </c>
      <c r="AM92" s="855">
        <f t="shared" si="73"/>
        <v>0</v>
      </c>
      <c r="AN92" s="854">
        <f t="shared" si="74"/>
        <v>8878.2725348803433</v>
      </c>
      <c r="AO92" s="854">
        <f t="shared" si="75"/>
        <v>455.19876678845725</v>
      </c>
      <c r="AP92" s="856">
        <f t="shared" si="76"/>
        <v>303.46584452563815</v>
      </c>
      <c r="AR92" s="1042">
        <f>'Recycling - Case 2'!G102</f>
        <v>593.34615107097636</v>
      </c>
      <c r="AS92" s="1043">
        <v>1</v>
      </c>
      <c r="AT92" s="1043">
        <f t="shared" si="77"/>
        <v>0.05</v>
      </c>
      <c r="AU92" s="1044">
        <f t="shared" si="78"/>
        <v>14.83365377677441</v>
      </c>
      <c r="AV92" s="1044">
        <f t="shared" si="79"/>
        <v>14.83365377677441</v>
      </c>
      <c r="AW92" s="1045">
        <f t="shared" si="80"/>
        <v>0</v>
      </c>
      <c r="AX92" s="1044">
        <f t="shared" si="44"/>
        <v>167.45395638043627</v>
      </c>
      <c r="AY92" s="1044">
        <f t="shared" si="49"/>
        <v>9.4375124457182054</v>
      </c>
      <c r="AZ92" s="1046">
        <f t="shared" si="47"/>
        <v>6.2916749638121372</v>
      </c>
      <c r="BA92" s="4"/>
      <c r="BB92" s="1055">
        <f t="shared" si="81"/>
        <v>425.40053904881188</v>
      </c>
      <c r="BC92" s="1056">
        <f t="shared" si="82"/>
        <v>303.46584452563815</v>
      </c>
      <c r="BD92" s="1082">
        <f t="shared" si="90"/>
        <v>6.2916749638121372</v>
      </c>
      <c r="BE92" s="1056">
        <f t="shared" si="54"/>
        <v>735.15805853826225</v>
      </c>
      <c r="BF92" s="167">
        <v>0</v>
      </c>
      <c r="BG92" s="1075">
        <f t="shared" si="83"/>
        <v>735.15805853826225</v>
      </c>
      <c r="BI92" s="1055">
        <f t="shared" si="84"/>
        <v>425.40053904881188</v>
      </c>
      <c r="BJ92" s="1056">
        <f t="shared" si="85"/>
        <v>303.46584452563815</v>
      </c>
      <c r="BK92" s="1082">
        <f t="shared" si="86"/>
        <v>6.2916749638121372</v>
      </c>
      <c r="BL92" s="1056">
        <f t="shared" si="55"/>
        <v>735.15805853826225</v>
      </c>
      <c r="BM92" s="167">
        <v>0</v>
      </c>
      <c r="BN92" s="1075">
        <f t="shared" si="87"/>
        <v>735.15805853826225</v>
      </c>
    </row>
    <row r="93" spans="1:66">
      <c r="A93" s="927">
        <f>'Input data'!A123</f>
        <v>2023</v>
      </c>
      <c r="B93" s="824">
        <f>'Input data'!B123</f>
        <v>61.381040636574369</v>
      </c>
      <c r="C93" s="824">
        <f>'Recycling - Case 2'!AK103/B93</f>
        <v>349.33248261682064</v>
      </c>
      <c r="D93" s="825">
        <f>'Recycling - Case 2'!AM103</f>
        <v>0.24426822179068367</v>
      </c>
      <c r="E93" s="826">
        <f>'Recycling - Case 2'!BE103</f>
        <v>0.18636100272049838</v>
      </c>
      <c r="F93" s="826">
        <f>'Recycling - Case 2'!BF103</f>
        <v>0.23635616892427852</v>
      </c>
      <c r="G93" s="826">
        <f>'Recycling - Case 2'!BG103</f>
        <v>6.9596401833593682E-2</v>
      </c>
      <c r="H93" s="826">
        <f>'Recycling - Case 2'!BH103</f>
        <v>0</v>
      </c>
      <c r="I93" s="826">
        <f>'Recycling - Case 2'!BI103</f>
        <v>0</v>
      </c>
      <c r="J93" s="826">
        <f>'Recycling - Case 2'!BJ103</f>
        <v>0</v>
      </c>
      <c r="K93" s="826">
        <f>'Recycling - Case 2'!BK103</f>
        <v>0.50768642652162943</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832">
        <f t="shared" si="57"/>
        <v>230.66816508590523</v>
      </c>
      <c r="R93" s="832">
        <f t="shared" si="58"/>
        <v>230.66816508590523</v>
      </c>
      <c r="S93" s="835">
        <f t="shared" si="59"/>
        <v>0</v>
      </c>
      <c r="T93" s="832">
        <f t="shared" si="60"/>
        <v>12295.670266412546</v>
      </c>
      <c r="U93" s="832">
        <f t="shared" si="61"/>
        <v>618.58588551405069</v>
      </c>
      <c r="V93" s="839">
        <f t="shared" si="62"/>
        <v>412.39059034270048</v>
      </c>
      <c r="W93" s="4"/>
      <c r="X93" s="852">
        <f>'Recycling - Case 2'!AM143</f>
        <v>0</v>
      </c>
      <c r="Y93" s="853">
        <f>Parameters!S228</f>
        <v>0.71500000000000008</v>
      </c>
      <c r="Z93" s="853">
        <f t="shared" si="63"/>
        <v>0.4</v>
      </c>
      <c r="AA93" s="854">
        <f t="shared" si="64"/>
        <v>0</v>
      </c>
      <c r="AB93" s="854">
        <f t="shared" si="65"/>
        <v>0</v>
      </c>
      <c r="AC93" s="855">
        <f t="shared" si="66"/>
        <v>0</v>
      </c>
      <c r="AD93" s="854">
        <f t="shared" si="67"/>
        <v>8445.2740739147248</v>
      </c>
      <c r="AE93" s="854">
        <f t="shared" si="68"/>
        <v>432.99846096561896</v>
      </c>
      <c r="AF93" s="856">
        <f t="shared" si="69"/>
        <v>288.66564064374597</v>
      </c>
      <c r="AG93" s="4"/>
      <c r="AH93" s="852">
        <f>'Recycling - Case 2'!AM183</f>
        <v>0</v>
      </c>
      <c r="AI93" s="853">
        <f>Parameters!S228</f>
        <v>0.71500000000000008</v>
      </c>
      <c r="AJ93" s="853">
        <f t="shared" si="70"/>
        <v>0.4</v>
      </c>
      <c r="AK93" s="854">
        <f t="shared" si="71"/>
        <v>0</v>
      </c>
      <c r="AL93" s="854">
        <f t="shared" si="72"/>
        <v>0</v>
      </c>
      <c r="AM93" s="855">
        <f t="shared" si="73"/>
        <v>0</v>
      </c>
      <c r="AN93" s="854">
        <f t="shared" si="74"/>
        <v>8445.2740739147248</v>
      </c>
      <c r="AO93" s="854">
        <f t="shared" si="75"/>
        <v>432.99846096561896</v>
      </c>
      <c r="AP93" s="856">
        <f t="shared" si="76"/>
        <v>288.66564064374597</v>
      </c>
      <c r="AQ93" s="4"/>
      <c r="AR93" s="1042">
        <f>'Recycling - Case 2'!G103</f>
        <v>611.39963074599768</v>
      </c>
      <c r="AS93" s="1043">
        <v>1</v>
      </c>
      <c r="AT93" s="1043">
        <f t="shared" si="77"/>
        <v>0.05</v>
      </c>
      <c r="AU93" s="1044">
        <f t="shared" si="78"/>
        <v>15.284990768649942</v>
      </c>
      <c r="AV93" s="1044">
        <f t="shared" si="79"/>
        <v>15.284990768649942</v>
      </c>
      <c r="AW93" s="1045">
        <f t="shared" si="80"/>
        <v>0</v>
      </c>
      <c r="AX93" s="1044">
        <f t="shared" si="44"/>
        <v>172.98718789610865</v>
      </c>
      <c r="AY93" s="1044">
        <f t="shared" si="49"/>
        <v>9.7517592529775765</v>
      </c>
      <c r="AZ93" s="1046">
        <f t="shared" si="47"/>
        <v>6.5011728353183846</v>
      </c>
      <c r="BA93" s="4"/>
      <c r="BB93" s="1055">
        <f t="shared" si="81"/>
        <v>412.39059034270048</v>
      </c>
      <c r="BC93" s="1056">
        <f t="shared" si="82"/>
        <v>288.66564064374597</v>
      </c>
      <c r="BD93" s="1082">
        <f t="shared" si="90"/>
        <v>6.5011728353183846</v>
      </c>
      <c r="BE93" s="1056">
        <f t="shared" si="54"/>
        <v>707.55740382176486</v>
      </c>
      <c r="BF93" s="167">
        <v>0</v>
      </c>
      <c r="BG93" s="1075">
        <f t="shared" si="83"/>
        <v>707.55740382176486</v>
      </c>
      <c r="BI93" s="1055">
        <f t="shared" si="84"/>
        <v>412.39059034270048</v>
      </c>
      <c r="BJ93" s="1056">
        <f t="shared" si="85"/>
        <v>288.66564064374597</v>
      </c>
      <c r="BK93" s="1082">
        <f t="shared" si="86"/>
        <v>6.5011728353183846</v>
      </c>
      <c r="BL93" s="1056">
        <f t="shared" si="55"/>
        <v>707.55740382176486</v>
      </c>
      <c r="BM93" s="167">
        <v>0</v>
      </c>
      <c r="BN93" s="1075">
        <f t="shared" si="87"/>
        <v>707.55740382176486</v>
      </c>
    </row>
    <row r="94" spans="1:66">
      <c r="A94" s="927">
        <f>'Input data'!A124</f>
        <v>2024</v>
      </c>
      <c r="B94" s="824">
        <f>'Input data'!B124</f>
        <v>62.087792487153699</v>
      </c>
      <c r="C94" s="824">
        <f>'Recycling - Case 2'!AK104/B94</f>
        <v>341.44831989252719</v>
      </c>
      <c r="D94" s="825">
        <f>'Recycling - Case 2'!AM104</f>
        <v>0.23129370223762682</v>
      </c>
      <c r="E94" s="826">
        <f>'Recycling - Case 2'!BE104</f>
        <v>0.18986963377374971</v>
      </c>
      <c r="F94" s="826">
        <f>'Recycling - Case 2'!BF104</f>
        <v>0.24080606231296667</v>
      </c>
      <c r="G94" s="826">
        <f>'Recycling - Case 2'!BG104</f>
        <v>6.76511525592466E-2</v>
      </c>
      <c r="H94" s="826">
        <f>'Recycling - Case 2'!BH104</f>
        <v>0</v>
      </c>
      <c r="I94" s="826">
        <f>'Recycling - Case 2'!BI104</f>
        <v>0</v>
      </c>
      <c r="J94" s="826">
        <f>'Recycling - Case 2'!BJ104</f>
        <v>0</v>
      </c>
      <c r="K94" s="826">
        <f>'Recycling - Case 2'!BK104</f>
        <v>0.50167315135403667</v>
      </c>
      <c r="L94" s="827">
        <f t="shared" si="89"/>
        <v>0.99999999999999967</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832">
        <f t="shared" si="57"/>
        <v>222.56227381228354</v>
      </c>
      <c r="R94" s="832">
        <f t="shared" si="58"/>
        <v>222.56227381228354</v>
      </c>
      <c r="S94" s="835">
        <f t="shared" si="59"/>
        <v>0</v>
      </c>
      <c r="T94" s="832">
        <f t="shared" si="60"/>
        <v>11918.565625182431</v>
      </c>
      <c r="U94" s="832">
        <f t="shared" si="61"/>
        <v>599.66691504239884</v>
      </c>
      <c r="V94" s="839">
        <f t="shared" si="62"/>
        <v>399.77794336159923</v>
      </c>
      <c r="W94" s="4"/>
      <c r="X94" s="852">
        <f>'Recycling - Case 2'!AM144</f>
        <v>0</v>
      </c>
      <c r="Y94" s="853">
        <f>Parameters!S229</f>
        <v>0.71500000000000008</v>
      </c>
      <c r="Z94" s="853">
        <f t="shared" si="63"/>
        <v>0.4</v>
      </c>
      <c r="AA94" s="854">
        <f t="shared" si="64"/>
        <v>0</v>
      </c>
      <c r="AB94" s="854">
        <f t="shared" si="65"/>
        <v>0</v>
      </c>
      <c r="AC94" s="855">
        <f t="shared" si="66"/>
        <v>0</v>
      </c>
      <c r="AD94" s="854">
        <f t="shared" si="67"/>
        <v>8033.3931970807043</v>
      </c>
      <c r="AE94" s="854">
        <f t="shared" si="68"/>
        <v>411.88087683402063</v>
      </c>
      <c r="AF94" s="856">
        <f t="shared" si="69"/>
        <v>274.58725122268044</v>
      </c>
      <c r="AG94" s="4"/>
      <c r="AH94" s="852">
        <f>'Recycling - Case 2'!AM184</f>
        <v>0</v>
      </c>
      <c r="AI94" s="853">
        <f>Parameters!S229</f>
        <v>0.71500000000000008</v>
      </c>
      <c r="AJ94" s="853">
        <f t="shared" si="70"/>
        <v>0.4</v>
      </c>
      <c r="AK94" s="854">
        <f t="shared" si="71"/>
        <v>0</v>
      </c>
      <c r="AL94" s="854">
        <f t="shared" si="72"/>
        <v>0</v>
      </c>
      <c r="AM94" s="855">
        <f t="shared" si="73"/>
        <v>0</v>
      </c>
      <c r="AN94" s="854">
        <f t="shared" si="74"/>
        <v>8033.3931970807043</v>
      </c>
      <c r="AO94" s="854">
        <f t="shared" si="75"/>
        <v>411.88087683402063</v>
      </c>
      <c r="AP94" s="856">
        <f t="shared" si="76"/>
        <v>274.58725122268044</v>
      </c>
      <c r="AQ94" s="4"/>
      <c r="AR94" s="1042">
        <f>'Recycling - Case 2'!G104</f>
        <v>629.79018860574899</v>
      </c>
      <c r="AS94" s="1043">
        <v>1</v>
      </c>
      <c r="AT94" s="1043">
        <f t="shared" si="77"/>
        <v>0.05</v>
      </c>
      <c r="AU94" s="1044">
        <f t="shared" si="78"/>
        <v>15.744754715143726</v>
      </c>
      <c r="AV94" s="1044">
        <f t="shared" si="79"/>
        <v>15.744754715143726</v>
      </c>
      <c r="AW94" s="1045">
        <f t="shared" si="80"/>
        <v>0</v>
      </c>
      <c r="AX94" s="1044">
        <f t="shared" si="44"/>
        <v>178.65795304017328</v>
      </c>
      <c r="AY94" s="1044">
        <f t="shared" si="49"/>
        <v>10.073989571079093</v>
      </c>
      <c r="AZ94" s="1046">
        <f t="shared" si="47"/>
        <v>6.7159930473860614</v>
      </c>
      <c r="BA94" s="4"/>
      <c r="BB94" s="1055">
        <f t="shared" si="81"/>
        <v>399.77794336159923</v>
      </c>
      <c r="BC94" s="1056">
        <f t="shared" si="82"/>
        <v>274.58725122268044</v>
      </c>
      <c r="BD94" s="1082">
        <f t="shared" si="90"/>
        <v>6.7159930473860614</v>
      </c>
      <c r="BE94" s="1056">
        <f t="shared" si="54"/>
        <v>681.08118763166567</v>
      </c>
      <c r="BF94" s="167">
        <v>0</v>
      </c>
      <c r="BG94" s="1075">
        <f t="shared" si="83"/>
        <v>681.08118763166567</v>
      </c>
      <c r="BI94" s="1055">
        <f t="shared" si="84"/>
        <v>399.77794336159923</v>
      </c>
      <c r="BJ94" s="1056">
        <f t="shared" si="85"/>
        <v>274.58725122268044</v>
      </c>
      <c r="BK94" s="1082">
        <f t="shared" si="86"/>
        <v>6.7159930473860614</v>
      </c>
      <c r="BL94" s="1056">
        <f t="shared" si="55"/>
        <v>681.08118763166567</v>
      </c>
      <c r="BM94" s="167">
        <v>0</v>
      </c>
      <c r="BN94" s="1075">
        <f t="shared" si="87"/>
        <v>681.08118763166567</v>
      </c>
    </row>
    <row r="95" spans="1:66">
      <c r="A95" s="927">
        <f>'Input data'!A125</f>
        <v>2025</v>
      </c>
      <c r="B95" s="824">
        <f>'Input data'!B125</f>
        <v>62.802682000000026</v>
      </c>
      <c r="C95" s="824">
        <f>'Recycling - Case 2'!AK105/B95</f>
        <v>333.72523472030412</v>
      </c>
      <c r="D95" s="825">
        <f>'Recycling - Case 2'!AM105</f>
        <v>0.21800123256124831</v>
      </c>
      <c r="E95" s="826">
        <f>'Recycling - Case 2'!BE105</f>
        <v>0.19343040664681491</v>
      </c>
      <c r="F95" s="826">
        <f>'Recycling - Case 2'!BF105</f>
        <v>0.24532208563545013</v>
      </c>
      <c r="G95" s="826">
        <f>'Recycling - Case 2'!BG105</f>
        <v>6.5673591883493782E-2</v>
      </c>
      <c r="H95" s="826">
        <f>'Recycling - Case 2'!BH105</f>
        <v>0</v>
      </c>
      <c r="I95" s="826">
        <f>'Recycling - Case 2'!BI105</f>
        <v>0</v>
      </c>
      <c r="J95" s="826">
        <f>'Recycling - Case 2'!BJ105</f>
        <v>0</v>
      </c>
      <c r="K95" s="826">
        <f>'Recycling - Case 2'!BK105</f>
        <v>0.49557391583424132</v>
      </c>
      <c r="L95" s="827">
        <f t="shared" si="89"/>
        <v>1.0000000000000002</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832">
        <f t="shared" si="57"/>
        <v>213.6311708022838</v>
      </c>
      <c r="R95" s="832">
        <f t="shared" si="58"/>
        <v>213.6311708022838</v>
      </c>
      <c r="S95" s="835">
        <f t="shared" si="59"/>
        <v>0</v>
      </c>
      <c r="T95" s="832">
        <f t="shared" si="60"/>
        <v>11550.921491318561</v>
      </c>
      <c r="U95" s="832">
        <f t="shared" si="61"/>
        <v>581.2753046661544</v>
      </c>
      <c r="V95" s="839">
        <f t="shared" si="62"/>
        <v>387.51686977743628</v>
      </c>
      <c r="W95" s="4"/>
      <c r="X95" s="852">
        <f>'Recycling - Case 2'!AM145</f>
        <v>0</v>
      </c>
      <c r="Y95" s="853">
        <f>Parameters!S230</f>
        <v>0.71500000000000008</v>
      </c>
      <c r="Z95" s="853">
        <f t="shared" si="63"/>
        <v>0.4</v>
      </c>
      <c r="AA95" s="854">
        <f t="shared" si="64"/>
        <v>0</v>
      </c>
      <c r="AB95" s="854">
        <f t="shared" si="65"/>
        <v>0</v>
      </c>
      <c r="AC95" s="855">
        <f t="shared" si="66"/>
        <v>0</v>
      </c>
      <c r="AD95" s="854">
        <f t="shared" si="67"/>
        <v>7641.5999876470296</v>
      </c>
      <c r="AE95" s="854">
        <f t="shared" si="68"/>
        <v>391.79320943367492</v>
      </c>
      <c r="AF95" s="856">
        <f t="shared" si="69"/>
        <v>261.19547295578326</v>
      </c>
      <c r="AG95" s="4"/>
      <c r="AH95" s="852">
        <f>'Recycling - Case 2'!AM185</f>
        <v>0</v>
      </c>
      <c r="AI95" s="853">
        <f>Parameters!S230</f>
        <v>0.71500000000000008</v>
      </c>
      <c r="AJ95" s="853">
        <f t="shared" si="70"/>
        <v>0.4</v>
      </c>
      <c r="AK95" s="854">
        <f t="shared" si="71"/>
        <v>0</v>
      </c>
      <c r="AL95" s="854">
        <f t="shared" si="72"/>
        <v>0</v>
      </c>
      <c r="AM95" s="855">
        <f t="shared" si="73"/>
        <v>0</v>
      </c>
      <c r="AN95" s="854">
        <f t="shared" si="74"/>
        <v>7641.5999876470296</v>
      </c>
      <c r="AO95" s="854">
        <f t="shared" si="75"/>
        <v>391.79320943367492</v>
      </c>
      <c r="AP95" s="856">
        <f t="shared" si="76"/>
        <v>261.19547295578326</v>
      </c>
      <c r="AQ95" s="4"/>
      <c r="AR95" s="1042">
        <f>'Recycling - Case 2'!G105</f>
        <v>648.52319354163239</v>
      </c>
      <c r="AS95" s="1043">
        <v>1</v>
      </c>
      <c r="AT95" s="1043">
        <f t="shared" si="77"/>
        <v>0.05</v>
      </c>
      <c r="AU95" s="1044">
        <f t="shared" si="78"/>
        <v>16.213079838540811</v>
      </c>
      <c r="AV95" s="1044">
        <f t="shared" si="79"/>
        <v>16.213079838540811</v>
      </c>
      <c r="AW95" s="1045">
        <f t="shared" si="80"/>
        <v>0</v>
      </c>
      <c r="AX95" s="1044">
        <f t="shared" si="44"/>
        <v>184.46680365453622</v>
      </c>
      <c r="AY95" s="1044">
        <f t="shared" si="49"/>
        <v>10.404229224177881</v>
      </c>
      <c r="AZ95" s="1046">
        <f t="shared" si="47"/>
        <v>6.9361528161185868</v>
      </c>
      <c r="BA95" s="4"/>
      <c r="BB95" s="1055">
        <f t="shared" si="81"/>
        <v>387.51686977743628</v>
      </c>
      <c r="BC95" s="1056">
        <f t="shared" si="82"/>
        <v>261.19547295578326</v>
      </c>
      <c r="BD95" s="1082">
        <f t="shared" si="90"/>
        <v>6.9361528161185868</v>
      </c>
      <c r="BE95" s="1056">
        <f t="shared" si="54"/>
        <v>655.64849554933812</v>
      </c>
      <c r="BF95" s="167">
        <v>0</v>
      </c>
      <c r="BG95" s="1075">
        <f t="shared" si="83"/>
        <v>655.64849554933812</v>
      </c>
      <c r="BI95" s="1055">
        <f t="shared" si="84"/>
        <v>387.51686977743628</v>
      </c>
      <c r="BJ95" s="1056">
        <f t="shared" si="85"/>
        <v>261.19547295578326</v>
      </c>
      <c r="BK95" s="1082">
        <f t="shared" si="86"/>
        <v>6.9361528161185868</v>
      </c>
      <c r="BL95" s="1056">
        <f t="shared" si="55"/>
        <v>655.64849554933812</v>
      </c>
      <c r="BM95" s="167">
        <v>0</v>
      </c>
      <c r="BN95" s="1075">
        <f t="shared" si="87"/>
        <v>655.64849554933812</v>
      </c>
    </row>
    <row r="96" spans="1:66">
      <c r="A96" s="927">
        <f>'Input data'!A126</f>
        <v>2026</v>
      </c>
      <c r="B96" s="824">
        <f>'Input data'!B126</f>
        <v>63.421065342005143</v>
      </c>
      <c r="C96" s="824">
        <f>'Recycling - Case 2'!AK106/B96</f>
        <v>326.49534137552507</v>
      </c>
      <c r="D96" s="825">
        <f>'Recycling - Case 2'!AM106</f>
        <v>0.20451040324022446</v>
      </c>
      <c r="E96" s="826">
        <f>'Recycling - Case 2'!BE106</f>
        <v>0.19690110218745824</v>
      </c>
      <c r="F96" s="826">
        <f>'Recycling - Case 2'!BF106</f>
        <v>0.24972386653120623</v>
      </c>
      <c r="G96" s="826">
        <f>'Recycling - Case 2'!BG106</f>
        <v>6.3700184645464952E-2</v>
      </c>
      <c r="H96" s="826">
        <f>'Recycling - Case 2'!BH106</f>
        <v>0</v>
      </c>
      <c r="I96" s="826">
        <f>'Recycling - Case 2'!BI106</f>
        <v>0</v>
      </c>
      <c r="J96" s="826">
        <f>'Recycling - Case 2'!BJ106</f>
        <v>0</v>
      </c>
      <c r="K96" s="826">
        <f>'Recycling - Case 2'!BK106</f>
        <v>0.48967484663587058</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832">
        <f t="shared" si="57"/>
        <v>203.77584751812222</v>
      </c>
      <c r="R96" s="832">
        <f t="shared" si="58"/>
        <v>203.77584751812222</v>
      </c>
      <c r="S96" s="835">
        <f t="shared" si="59"/>
        <v>0</v>
      </c>
      <c r="T96" s="832">
        <f t="shared" si="60"/>
        <v>11191.352250158005</v>
      </c>
      <c r="U96" s="832">
        <f t="shared" si="61"/>
        <v>563.34508867867692</v>
      </c>
      <c r="V96" s="839">
        <f t="shared" si="62"/>
        <v>375.5633924524513</v>
      </c>
      <c r="W96" s="4"/>
      <c r="X96" s="852">
        <f>'Recycling - Case 2'!AM146</f>
        <v>0</v>
      </c>
      <c r="Y96" s="853">
        <f>Parameters!S231</f>
        <v>0.71500000000000008</v>
      </c>
      <c r="Z96" s="853">
        <f t="shared" si="63"/>
        <v>0.4</v>
      </c>
      <c r="AA96" s="854">
        <f t="shared" si="64"/>
        <v>0</v>
      </c>
      <c r="AB96" s="854">
        <f t="shared" si="65"/>
        <v>0</v>
      </c>
      <c r="AC96" s="855">
        <f t="shared" si="66"/>
        <v>0</v>
      </c>
      <c r="AD96" s="854">
        <f t="shared" si="67"/>
        <v>7268.9147585141473</v>
      </c>
      <c r="AE96" s="854">
        <f t="shared" si="68"/>
        <v>372.68522913288228</v>
      </c>
      <c r="AF96" s="856">
        <f t="shared" si="69"/>
        <v>248.45681942192152</v>
      </c>
      <c r="AG96" s="4"/>
      <c r="AH96" s="852">
        <f>'Recycling - Case 2'!AM186</f>
        <v>0</v>
      </c>
      <c r="AI96" s="853">
        <f>Parameters!S231</f>
        <v>0.71500000000000008</v>
      </c>
      <c r="AJ96" s="853">
        <f t="shared" si="70"/>
        <v>0.4</v>
      </c>
      <c r="AK96" s="854">
        <f t="shared" si="71"/>
        <v>0</v>
      </c>
      <c r="AL96" s="854">
        <f t="shared" si="72"/>
        <v>0</v>
      </c>
      <c r="AM96" s="855">
        <f t="shared" si="73"/>
        <v>0</v>
      </c>
      <c r="AN96" s="854">
        <f t="shared" si="74"/>
        <v>7268.9147585141473</v>
      </c>
      <c r="AO96" s="854">
        <f t="shared" si="75"/>
        <v>372.68522913288228</v>
      </c>
      <c r="AP96" s="856">
        <f t="shared" si="76"/>
        <v>248.45681942192152</v>
      </c>
      <c r="AQ96" s="4"/>
      <c r="AR96" s="1042">
        <f>'Recycling - Case 2'!G106</f>
        <v>666.50338782740016</v>
      </c>
      <c r="AS96" s="1043">
        <v>1</v>
      </c>
      <c r="AT96" s="1043">
        <f t="shared" si="77"/>
        <v>0.05</v>
      </c>
      <c r="AU96" s="1044">
        <f t="shared" si="78"/>
        <v>16.662584695685005</v>
      </c>
      <c r="AV96" s="1044">
        <f t="shared" si="79"/>
        <v>16.662584695685005</v>
      </c>
      <c r="AW96" s="1045">
        <f t="shared" si="80"/>
        <v>0</v>
      </c>
      <c r="AX96" s="1044">
        <f t="shared" si="44"/>
        <v>190.38687800117651</v>
      </c>
      <c r="AY96" s="1044">
        <f t="shared" si="49"/>
        <v>10.74251034904473</v>
      </c>
      <c r="AZ96" s="1046">
        <f t="shared" si="47"/>
        <v>7.1616735660298199</v>
      </c>
      <c r="BA96" s="4"/>
      <c r="BB96" s="1055">
        <f t="shared" si="81"/>
        <v>375.5633924524513</v>
      </c>
      <c r="BC96" s="1056">
        <f t="shared" si="82"/>
        <v>248.45681942192152</v>
      </c>
      <c r="BD96" s="1082">
        <f t="shared" si="90"/>
        <v>7.1616735660298199</v>
      </c>
      <c r="BE96" s="1056">
        <f t="shared" si="54"/>
        <v>631.18188544040254</v>
      </c>
      <c r="BF96" s="167">
        <v>0</v>
      </c>
      <c r="BG96" s="1075">
        <f t="shared" si="83"/>
        <v>631.18188544040254</v>
      </c>
      <c r="BI96" s="1055">
        <f t="shared" si="84"/>
        <v>375.5633924524513</v>
      </c>
      <c r="BJ96" s="1056">
        <f t="shared" si="85"/>
        <v>248.45681942192152</v>
      </c>
      <c r="BK96" s="1082">
        <f t="shared" si="86"/>
        <v>7.1616735660298199</v>
      </c>
      <c r="BL96" s="1056">
        <f t="shared" si="55"/>
        <v>631.18188544040254</v>
      </c>
      <c r="BM96" s="167">
        <v>0</v>
      </c>
      <c r="BN96" s="1075">
        <f t="shared" si="87"/>
        <v>631.18188544040254</v>
      </c>
    </row>
    <row r="97" spans="1:66">
      <c r="A97" s="927">
        <f>'Input data'!A127</f>
        <v>2027</v>
      </c>
      <c r="B97" s="824">
        <f>'Input data'!B127</f>
        <v>64.045537563425796</v>
      </c>
      <c r="C97" s="824">
        <f>'Recycling - Case 2'!AK107/B97</f>
        <v>319.38789989359691</v>
      </c>
      <c r="D97" s="825">
        <f>'Recycling - Case 2'!AM107</f>
        <v>0.19067907685240901</v>
      </c>
      <c r="E97" s="826">
        <f>'Recycling - Case 2'!BE107</f>
        <v>0.20043273956918531</v>
      </c>
      <c r="F97" s="826">
        <f>'Recycling - Case 2'!BF107</f>
        <v>0.25420293816845596</v>
      </c>
      <c r="G97" s="826">
        <f>'Recycling - Case 2'!BG107</f>
        <v>6.1689515064928716E-2</v>
      </c>
      <c r="H97" s="826">
        <f>'Recycling - Case 2'!BH107</f>
        <v>0</v>
      </c>
      <c r="I97" s="826">
        <f>'Recycling - Case 2'!BI107</f>
        <v>0</v>
      </c>
      <c r="J97" s="826">
        <f>'Recycling - Case 2'!BJ107</f>
        <v>0</v>
      </c>
      <c r="K97" s="826">
        <f>'Recycling - Case 2'!BK107</f>
        <v>0.48367480719743011</v>
      </c>
      <c r="L97" s="827">
        <f t="shared" si="89"/>
        <v>1</v>
      </c>
      <c r="M97" s="4"/>
      <c r="N97" s="838">
        <f t="shared" si="56"/>
        <v>3900.4110186862781</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832">
        <f t="shared" si="57"/>
        <v>193.07576144773347</v>
      </c>
      <c r="R97" s="832">
        <f t="shared" si="58"/>
        <v>193.07576144773347</v>
      </c>
      <c r="S97" s="835">
        <f t="shared" si="59"/>
        <v>0</v>
      </c>
      <c r="T97" s="832">
        <f t="shared" si="60"/>
        <v>10838.619321750302</v>
      </c>
      <c r="U97" s="832">
        <f t="shared" si="61"/>
        <v>545.80868985543509</v>
      </c>
      <c r="V97" s="839">
        <f t="shared" si="62"/>
        <v>363.87245990362339</v>
      </c>
      <c r="W97" s="4"/>
      <c r="X97" s="852">
        <f>'Recycling - Case 2'!AM147</f>
        <v>0</v>
      </c>
      <c r="Y97" s="853">
        <f>Parameters!S232</f>
        <v>0.71500000000000008</v>
      </c>
      <c r="Z97" s="853">
        <f t="shared" si="63"/>
        <v>0.4</v>
      </c>
      <c r="AA97" s="854">
        <f t="shared" si="64"/>
        <v>0</v>
      </c>
      <c r="AB97" s="854">
        <f t="shared" si="65"/>
        <v>0</v>
      </c>
      <c r="AC97" s="855">
        <f t="shared" si="66"/>
        <v>0</v>
      </c>
      <c r="AD97" s="854">
        <f t="shared" si="67"/>
        <v>6914.4056024861593</v>
      </c>
      <c r="AE97" s="854">
        <f t="shared" si="68"/>
        <v>354.50915602798835</v>
      </c>
      <c r="AF97" s="856">
        <f t="shared" si="69"/>
        <v>236.33943735199225</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6914.4056024861593</v>
      </c>
      <c r="AO97" s="854">
        <f t="shared" si="75"/>
        <v>354.50915602798835</v>
      </c>
      <c r="AP97" s="856">
        <f t="shared" si="76"/>
        <v>236.33943735199225</v>
      </c>
      <c r="AQ97" s="4"/>
      <c r="AR97" s="1042">
        <f>'Recycling - Case 2'!G107</f>
        <v>684.77478823938122</v>
      </c>
      <c r="AS97" s="1043">
        <v>1</v>
      </c>
      <c r="AT97" s="1043">
        <f t="shared" si="77"/>
        <v>0.05</v>
      </c>
      <c r="AU97" s="1044">
        <f t="shared" si="78"/>
        <v>17.119369705984532</v>
      </c>
      <c r="AV97" s="1044">
        <f t="shared" si="79"/>
        <v>17.119369705984532</v>
      </c>
      <c r="AW97" s="1045">
        <f t="shared" si="80"/>
        <v>0</v>
      </c>
      <c r="AX97" s="1044">
        <f t="shared" si="44"/>
        <v>196.41897906732379</v>
      </c>
      <c r="AY97" s="1044">
        <f t="shared" si="49"/>
        <v>11.087268639837252</v>
      </c>
      <c r="AZ97" s="1046">
        <f t="shared" si="47"/>
        <v>7.391512426558168</v>
      </c>
      <c r="BA97" s="4"/>
      <c r="BB97" s="1055">
        <f t="shared" si="81"/>
        <v>363.87245990362339</v>
      </c>
      <c r="BC97" s="1056">
        <f t="shared" si="82"/>
        <v>236.33943735199225</v>
      </c>
      <c r="BD97" s="1082">
        <f t="shared" si="90"/>
        <v>7.391512426558168</v>
      </c>
      <c r="BE97" s="1056">
        <f t="shared" si="54"/>
        <v>607.60340968217383</v>
      </c>
      <c r="BF97" s="167">
        <v>0</v>
      </c>
      <c r="BG97" s="1075">
        <f t="shared" si="83"/>
        <v>607.60340968217383</v>
      </c>
      <c r="BI97" s="1055">
        <f t="shared" si="84"/>
        <v>363.87245990362339</v>
      </c>
      <c r="BJ97" s="1056">
        <f t="shared" si="85"/>
        <v>236.33943735199225</v>
      </c>
      <c r="BK97" s="1082">
        <f t="shared" si="86"/>
        <v>7.391512426558168</v>
      </c>
      <c r="BL97" s="1056">
        <f t="shared" si="55"/>
        <v>607.60340968217383</v>
      </c>
      <c r="BM97" s="167">
        <v>0</v>
      </c>
      <c r="BN97" s="1075">
        <f t="shared" si="87"/>
        <v>607.60340968217383</v>
      </c>
    </row>
    <row r="98" spans="1:66">
      <c r="A98" s="927">
        <f>'Input data'!A128</f>
        <v>2028</v>
      </c>
      <c r="B98" s="824">
        <f>'Input data'!B128</f>
        <v>64.676158618096451</v>
      </c>
      <c r="C98" s="824">
        <f>'Recycling - Case 2'!AK108/B98</f>
        <v>312.40049312460883</v>
      </c>
      <c r="D98" s="825">
        <f>'Recycling - Case 2'!AM108</f>
        <v>0.17649661494683172</v>
      </c>
      <c r="E98" s="826">
        <f>'Recycling - Case 2'!BE108</f>
        <v>0.20402762314460737</v>
      </c>
      <c r="F98" s="826">
        <f>'Recycling - Case 2'!BF108</f>
        <v>0.25876222308972174</v>
      </c>
      <c r="G98" s="826">
        <f>'Recycling - Case 2'!BG108</f>
        <v>5.9640219057551069E-2</v>
      </c>
      <c r="H98" s="826">
        <f>'Recycling - Case 2'!BH108</f>
        <v>0</v>
      </c>
      <c r="I98" s="826">
        <f>'Recycling - Case 2'!BI108</f>
        <v>0</v>
      </c>
      <c r="J98" s="826">
        <f>'Recycling - Case 2'!BJ108</f>
        <v>0</v>
      </c>
      <c r="K98" s="826">
        <f>'Recycling - Case 2'!BK108</f>
        <v>0.47756993470811976</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832">
        <f t="shared" si="57"/>
        <v>181.51534803676438</v>
      </c>
      <c r="R98" s="832">
        <f t="shared" si="58"/>
        <v>181.51534803676438</v>
      </c>
      <c r="S98" s="835">
        <f t="shared" si="59"/>
        <v>0</v>
      </c>
      <c r="T98" s="832">
        <f t="shared" si="60"/>
        <v>10491.528967847624</v>
      </c>
      <c r="U98" s="832">
        <f t="shared" si="61"/>
        <v>528.60570193944295</v>
      </c>
      <c r="V98" s="839">
        <f t="shared" si="62"/>
        <v>352.40380129296199</v>
      </c>
      <c r="W98" s="4"/>
      <c r="X98" s="852">
        <f>'Recycling - Case 2'!AM148</f>
        <v>0</v>
      </c>
      <c r="Y98" s="853">
        <f>Parameters!S233</f>
        <v>0.71500000000000008</v>
      </c>
      <c r="Z98" s="853">
        <f t="shared" si="63"/>
        <v>0.4</v>
      </c>
      <c r="AA98" s="854">
        <f t="shared" si="64"/>
        <v>0</v>
      </c>
      <c r="AB98" s="854">
        <f t="shared" si="65"/>
        <v>0</v>
      </c>
      <c r="AC98" s="855">
        <f t="shared" si="66"/>
        <v>0</v>
      </c>
      <c r="AD98" s="854">
        <f t="shared" si="67"/>
        <v>6577.186062017422</v>
      </c>
      <c r="AE98" s="854">
        <f t="shared" si="68"/>
        <v>337.21954046873725</v>
      </c>
      <c r="AF98" s="856">
        <f t="shared" si="69"/>
        <v>224.81302697915817</v>
      </c>
      <c r="AG98" s="4"/>
      <c r="AH98" s="852">
        <f>'Recycling - Case 2'!AM188</f>
        <v>0</v>
      </c>
      <c r="AI98" s="853">
        <f>Parameters!S233</f>
        <v>0.71500000000000008</v>
      </c>
      <c r="AJ98" s="853">
        <f t="shared" si="70"/>
        <v>0.4</v>
      </c>
      <c r="AK98" s="854">
        <f t="shared" si="71"/>
        <v>0</v>
      </c>
      <c r="AL98" s="854">
        <f t="shared" si="72"/>
        <v>0</v>
      </c>
      <c r="AM98" s="855">
        <f t="shared" si="73"/>
        <v>0</v>
      </c>
      <c r="AN98" s="854">
        <f t="shared" si="74"/>
        <v>6577.186062017422</v>
      </c>
      <c r="AO98" s="854">
        <f t="shared" si="75"/>
        <v>337.21954046873725</v>
      </c>
      <c r="AP98" s="856">
        <f t="shared" si="76"/>
        <v>224.81302697915817</v>
      </c>
      <c r="AQ98" s="4"/>
      <c r="AR98" s="1042">
        <f>'Recycling - Case 2'!G108</f>
        <v>703.34138624405773</v>
      </c>
      <c r="AS98" s="1043">
        <v>1</v>
      </c>
      <c r="AT98" s="1043">
        <f t="shared" si="77"/>
        <v>0.05</v>
      </c>
      <c r="AU98" s="1044">
        <f t="shared" si="78"/>
        <v>17.583534656101445</v>
      </c>
      <c r="AV98" s="1044">
        <f t="shared" si="79"/>
        <v>17.583534656101445</v>
      </c>
      <c r="AW98" s="1045">
        <f t="shared" si="80"/>
        <v>0</v>
      </c>
      <c r="AX98" s="1044">
        <f t="shared" si="44"/>
        <v>202.56396286453395</v>
      </c>
      <c r="AY98" s="1044">
        <f t="shared" si="49"/>
        <v>11.438550858891288</v>
      </c>
      <c r="AZ98" s="1046">
        <f t="shared" si="47"/>
        <v>7.6257005725941918</v>
      </c>
      <c r="BA98" s="4"/>
      <c r="BB98" s="1055">
        <f t="shared" si="81"/>
        <v>352.40380129296199</v>
      </c>
      <c r="BC98" s="1056">
        <f t="shared" si="82"/>
        <v>224.81302697915817</v>
      </c>
      <c r="BD98" s="1082">
        <f t="shared" si="90"/>
        <v>7.6257005725941918</v>
      </c>
      <c r="BE98" s="1056">
        <f t="shared" si="54"/>
        <v>584.84252884471437</v>
      </c>
      <c r="BF98" s="167">
        <v>0</v>
      </c>
      <c r="BG98" s="1075">
        <f t="shared" si="83"/>
        <v>584.84252884471437</v>
      </c>
      <c r="BI98" s="1055">
        <f t="shared" si="84"/>
        <v>352.40380129296199</v>
      </c>
      <c r="BJ98" s="1056">
        <f t="shared" si="85"/>
        <v>224.81302697915817</v>
      </c>
      <c r="BK98" s="1082">
        <f t="shared" si="86"/>
        <v>7.6257005725941918</v>
      </c>
      <c r="BL98" s="1056">
        <f t="shared" si="55"/>
        <v>584.84252884471437</v>
      </c>
      <c r="BM98" s="167">
        <v>0</v>
      </c>
      <c r="BN98" s="1075">
        <f t="shared" si="87"/>
        <v>584.84252884471437</v>
      </c>
    </row>
    <row r="99" spans="1:66">
      <c r="A99" s="927">
        <f>'Input data'!A129</f>
        <v>2029</v>
      </c>
      <c r="B99" s="824">
        <f>'Input data'!B129</f>
        <v>65.31298905018393</v>
      </c>
      <c r="C99" s="824">
        <f>'Recycling - Case 2'!AK109/B99</f>
        <v>305.53070568103118</v>
      </c>
      <c r="D99" s="825">
        <f>'Recycling - Case 2'!AM109</f>
        <v>0.161951847001268</v>
      </c>
      <c r="E99" s="826">
        <f>'Recycling - Case 2'!BE109</f>
        <v>0.20768815931261841</v>
      </c>
      <c r="F99" s="826">
        <f>'Recycling - Case 2'!BF109</f>
        <v>0.26340477325982065</v>
      </c>
      <c r="G99" s="826">
        <f>'Recycling - Case 2'!BG109</f>
        <v>5.7550871499356622E-2</v>
      </c>
      <c r="H99" s="826">
        <f>'Recycling - Case 2'!BH109</f>
        <v>0</v>
      </c>
      <c r="I99" s="826">
        <f>'Recycling - Case 2'!BI109</f>
        <v>0</v>
      </c>
      <c r="J99" s="826">
        <f>'Recycling - Case 2'!BJ109</f>
        <v>0</v>
      </c>
      <c r="K99" s="826">
        <f>'Recycling - Case 2'!BK109</f>
        <v>0.47135619592820438</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832">
        <f t="shared" si="57"/>
        <v>169.07847057674107</v>
      </c>
      <c r="R99" s="832">
        <f t="shared" si="58"/>
        <v>169.07847057674107</v>
      </c>
      <c r="S99" s="835">
        <f t="shared" si="59"/>
        <v>0</v>
      </c>
      <c r="T99" s="832">
        <f t="shared" si="60"/>
        <v>10148.929532795008</v>
      </c>
      <c r="U99" s="832">
        <f t="shared" si="61"/>
        <v>511.67790562935846</v>
      </c>
      <c r="V99" s="839">
        <f t="shared" si="62"/>
        <v>341.11860375290564</v>
      </c>
      <c r="W99" s="4"/>
      <c r="X99" s="852">
        <f>'Recycling - Case 2'!AM149</f>
        <v>0</v>
      </c>
      <c r="Y99" s="853">
        <f>Parameters!S234</f>
        <v>0.71500000000000008</v>
      </c>
      <c r="Z99" s="853">
        <f t="shared" si="63"/>
        <v>0.4</v>
      </c>
      <c r="AA99" s="854">
        <f t="shared" si="64"/>
        <v>0</v>
      </c>
      <c r="AB99" s="854">
        <f t="shared" si="65"/>
        <v>0</v>
      </c>
      <c r="AC99" s="855">
        <f t="shared" si="66"/>
        <v>0</v>
      </c>
      <c r="AD99" s="854">
        <f t="shared" si="67"/>
        <v>6256.4129126069502</v>
      </c>
      <c r="AE99" s="854">
        <f t="shared" si="68"/>
        <v>320.77314941047217</v>
      </c>
      <c r="AF99" s="856">
        <f t="shared" si="69"/>
        <v>213.84876627364812</v>
      </c>
      <c r="AG99" s="4"/>
      <c r="AH99" s="852">
        <f>'Recycling - Case 2'!AM189</f>
        <v>0</v>
      </c>
      <c r="AI99" s="853">
        <f>Parameters!S234</f>
        <v>0.71500000000000008</v>
      </c>
      <c r="AJ99" s="853">
        <f t="shared" si="70"/>
        <v>0.4</v>
      </c>
      <c r="AK99" s="854">
        <f t="shared" si="71"/>
        <v>0</v>
      </c>
      <c r="AL99" s="854">
        <f t="shared" si="72"/>
        <v>0</v>
      </c>
      <c r="AM99" s="855">
        <f t="shared" si="73"/>
        <v>0</v>
      </c>
      <c r="AN99" s="854">
        <f t="shared" si="74"/>
        <v>6256.4129126069502</v>
      </c>
      <c r="AO99" s="854">
        <f t="shared" si="75"/>
        <v>320.77314941047217</v>
      </c>
      <c r="AP99" s="856">
        <f t="shared" si="76"/>
        <v>213.84876627364812</v>
      </c>
      <c r="AQ99" s="4"/>
      <c r="AR99" s="1042">
        <f>'Recycling - Case 2'!G109</f>
        <v>722.20722367827375</v>
      </c>
      <c r="AS99" s="1043">
        <v>1</v>
      </c>
      <c r="AT99" s="1043">
        <f t="shared" si="77"/>
        <v>0.05</v>
      </c>
      <c r="AU99" s="1044">
        <f t="shared" si="78"/>
        <v>18.055180591956844</v>
      </c>
      <c r="AV99" s="1044">
        <f t="shared" si="79"/>
        <v>18.055180591956844</v>
      </c>
      <c r="AW99" s="1045">
        <f t="shared" si="80"/>
        <v>0</v>
      </c>
      <c r="AX99" s="1044">
        <f t="shared" si="44"/>
        <v>208.82273660005174</v>
      </c>
      <c r="AY99" s="1044">
        <f t="shared" si="49"/>
        <v>11.796406856439056</v>
      </c>
      <c r="AZ99" s="1046">
        <f t="shared" si="47"/>
        <v>7.8642712376260375</v>
      </c>
      <c r="BA99" s="4"/>
      <c r="BB99" s="1055">
        <f t="shared" si="81"/>
        <v>341.11860375290564</v>
      </c>
      <c r="BC99" s="1056">
        <f t="shared" si="82"/>
        <v>213.84876627364812</v>
      </c>
      <c r="BD99" s="1082">
        <f t="shared" si="90"/>
        <v>7.8642712376260375</v>
      </c>
      <c r="BE99" s="1056">
        <f t="shared" si="54"/>
        <v>562.83164126417978</v>
      </c>
      <c r="BF99" s="167">
        <v>0</v>
      </c>
      <c r="BG99" s="1075">
        <f t="shared" si="83"/>
        <v>562.83164126417978</v>
      </c>
      <c r="BI99" s="1055">
        <f t="shared" si="84"/>
        <v>341.11860375290564</v>
      </c>
      <c r="BJ99" s="1056">
        <f t="shared" si="85"/>
        <v>213.84876627364812</v>
      </c>
      <c r="BK99" s="1082">
        <f t="shared" si="86"/>
        <v>7.8642712376260375</v>
      </c>
      <c r="BL99" s="1056">
        <f t="shared" si="55"/>
        <v>562.83164126417978</v>
      </c>
      <c r="BM99" s="167">
        <v>0</v>
      </c>
      <c r="BN99" s="1075">
        <f t="shared" si="87"/>
        <v>562.83164126417978</v>
      </c>
    </row>
    <row r="100" spans="1:66">
      <c r="A100" s="927">
        <f>'Input data'!A130</f>
        <v>2030</v>
      </c>
      <c r="B100" s="824">
        <f>'Input data'!B130</f>
        <v>65.956090000000003</v>
      </c>
      <c r="C100" s="824">
        <f>'Recycling - Case 2'!AK110/B100</f>
        <v>298.77612226712506</v>
      </c>
      <c r="D100" s="825">
        <f>'Recycling - Case 2'!AM110</f>
        <v>0.1470330241938301</v>
      </c>
      <c r="E100" s="826">
        <f>'Recycling - Case 2'!BE110</f>
        <v>0.21141686250550593</v>
      </c>
      <c r="F100" s="826">
        <f>'Recycling - Case 2'!BF110</f>
        <v>0.26813377765913904</v>
      </c>
      <c r="G100" s="826">
        <f>'Recycling - Case 2'!BG110</f>
        <v>5.541998265772928E-2</v>
      </c>
      <c r="H100" s="826">
        <f>'Recycling - Case 2'!BH110</f>
        <v>0</v>
      </c>
      <c r="I100" s="826">
        <f>'Recycling - Case 2'!BI110</f>
        <v>0</v>
      </c>
      <c r="J100" s="826">
        <f>'Recycling - Case 2'!BJ110</f>
        <v>0</v>
      </c>
      <c r="K100" s="826">
        <f>'Recycling - Case 2'!BK110</f>
        <v>0.46502937717762582</v>
      </c>
      <c r="L100" s="827">
        <f t="shared" si="89"/>
        <v>1</v>
      </c>
      <c r="M100" s="4"/>
      <c r="N100" s="838">
        <f t="shared" si="56"/>
        <v>2897.4481853098064</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832">
        <f t="shared" si="57"/>
        <v>155.74838373196658</v>
      </c>
      <c r="R100" s="832">
        <f t="shared" si="58"/>
        <v>155.74838373196658</v>
      </c>
      <c r="S100" s="835">
        <f t="shared" si="59"/>
        <v>0</v>
      </c>
      <c r="T100" s="832">
        <f t="shared" si="60"/>
        <v>9809.7087825108629</v>
      </c>
      <c r="U100" s="832">
        <f t="shared" si="61"/>
        <v>494.96913401611215</v>
      </c>
      <c r="V100" s="839">
        <f t="shared" si="62"/>
        <v>329.97942267740808</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5951.2840542979447</v>
      </c>
      <c r="AE100" s="854">
        <f t="shared" si="68"/>
        <v>305.12885830900501</v>
      </c>
      <c r="AF100" s="856">
        <f t="shared" si="69"/>
        <v>203.41923887267001</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5951.2840542979447</v>
      </c>
      <c r="AO100" s="854">
        <f t="shared" si="75"/>
        <v>305.12885830900501</v>
      </c>
      <c r="AP100" s="856">
        <f t="shared" si="76"/>
        <v>203.41923887267001</v>
      </c>
      <c r="AQ100" s="4"/>
      <c r="AR100" s="1042">
        <f>'Recycling - Case 2'!G110</f>
        <v>741.37639335418953</v>
      </c>
      <c r="AS100" s="1043">
        <v>1</v>
      </c>
      <c r="AT100" s="1043">
        <f t="shared" si="77"/>
        <v>0.05</v>
      </c>
      <c r="AU100" s="1044">
        <f t="shared" si="78"/>
        <v>18.534409833854738</v>
      </c>
      <c r="AV100" s="1044">
        <f t="shared" si="79"/>
        <v>18.534409833854738</v>
      </c>
      <c r="AW100" s="1045">
        <f t="shared" si="80"/>
        <v>0</v>
      </c>
      <c r="AX100" s="1044">
        <f t="shared" si="44"/>
        <v>215.19625696978889</v>
      </c>
      <c r="AY100" s="1044">
        <f t="shared" si="49"/>
        <v>12.160889464117588</v>
      </c>
      <c r="AZ100" s="1046">
        <f t="shared" si="47"/>
        <v>8.1072596427450581</v>
      </c>
      <c r="BA100" s="4"/>
      <c r="BB100" s="1055">
        <f t="shared" si="81"/>
        <v>329.97942267740808</v>
      </c>
      <c r="BC100" s="1056">
        <f t="shared" si="82"/>
        <v>203.41923887267001</v>
      </c>
      <c r="BD100" s="1082">
        <f t="shared" si="90"/>
        <v>8.1072596427450581</v>
      </c>
      <c r="BE100" s="1056">
        <f t="shared" si="54"/>
        <v>541.50592119282305</v>
      </c>
      <c r="BF100" s="167">
        <v>0</v>
      </c>
      <c r="BG100" s="1075">
        <f t="shared" si="83"/>
        <v>541.50592119282305</v>
      </c>
      <c r="BI100" s="1055">
        <f t="shared" si="84"/>
        <v>329.97942267740808</v>
      </c>
      <c r="BJ100" s="1056">
        <f t="shared" si="85"/>
        <v>203.41923887267001</v>
      </c>
      <c r="BK100" s="1082">
        <f t="shared" si="86"/>
        <v>8.1072596427450581</v>
      </c>
      <c r="BL100" s="1056">
        <f t="shared" si="55"/>
        <v>541.50592119282305</v>
      </c>
      <c r="BM100" s="167">
        <v>0</v>
      </c>
      <c r="BN100" s="1075">
        <f t="shared" si="87"/>
        <v>541.50592119282305</v>
      </c>
    </row>
    <row r="101" spans="1:66">
      <c r="A101" s="927">
        <f>'Input data'!A131</f>
        <v>2031</v>
      </c>
      <c r="B101" s="824">
        <f>'Input data'!B131</f>
        <v>66.518977190687664</v>
      </c>
      <c r="C101" s="824">
        <f>'Recycling - Case 2'!AK111/B101</f>
        <v>290.33093279482745</v>
      </c>
      <c r="D101" s="825">
        <f>'Recycling - Case 2'!AM111</f>
        <v>0.1327184478933309</v>
      </c>
      <c r="E101" s="826">
        <f>'Recycling - Case 2'!BE111</f>
        <v>0.21211281030749607</v>
      </c>
      <c r="F101" s="826">
        <f>'Recycling - Case 2'!BF111</f>
        <v>0.26901642775142459</v>
      </c>
      <c r="G101" s="826">
        <f>'Recycling - Case 2'!BG111</f>
        <v>5.525188586546504E-2</v>
      </c>
      <c r="H101" s="826">
        <f>'Recycling - Case 2'!BH111</f>
        <v>0</v>
      </c>
      <c r="I101" s="826">
        <f>'Recycling - Case 2'!BI111</f>
        <v>0</v>
      </c>
      <c r="J101" s="826">
        <f>'Recycling - Case 2'!BJ111</f>
        <v>0</v>
      </c>
      <c r="K101" s="826">
        <f>'Recycling - Case 2'!BK111</f>
        <v>0.46361887607561419</v>
      </c>
      <c r="L101" s="827">
        <f t="shared" si="89"/>
        <v>1</v>
      </c>
      <c r="M101" s="4"/>
      <c r="N101" s="838">
        <f t="shared" si="56"/>
        <v>2563.1272408509826</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832">
        <f t="shared" si="57"/>
        <v>138.05126534208725</v>
      </c>
      <c r="R101" s="832">
        <f t="shared" si="58"/>
        <v>138.05126534208725</v>
      </c>
      <c r="S101" s="835">
        <f t="shared" si="59"/>
        <v>0</v>
      </c>
      <c r="T101" s="832">
        <f t="shared" si="60"/>
        <v>9469.3349050494944</v>
      </c>
      <c r="U101" s="832">
        <f t="shared" si="61"/>
        <v>478.42514280345483</v>
      </c>
      <c r="V101" s="839">
        <f t="shared" si="62"/>
        <v>318.9500952023032</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5661.0365060101103</v>
      </c>
      <c r="AE101" s="854">
        <f t="shared" si="68"/>
        <v>290.24754828783472</v>
      </c>
      <c r="AF101" s="856">
        <f t="shared" si="69"/>
        <v>193.49836552522314</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5661.0365060101103</v>
      </c>
      <c r="AO101" s="854">
        <f t="shared" si="75"/>
        <v>290.24754828783472</v>
      </c>
      <c r="AP101" s="856">
        <f t="shared" si="76"/>
        <v>193.49836552522314</v>
      </c>
      <c r="AQ101" s="4"/>
      <c r="AR101" s="1042">
        <f>'Recycling - Case 2'!G111</f>
        <v>747.70350090858369</v>
      </c>
      <c r="AS101" s="1043">
        <v>1</v>
      </c>
      <c r="AT101" s="1043">
        <f t="shared" si="77"/>
        <v>0.05</v>
      </c>
      <c r="AU101" s="1044">
        <f t="shared" si="78"/>
        <v>18.692587522714593</v>
      </c>
      <c r="AV101" s="1044">
        <f t="shared" si="79"/>
        <v>18.692587522714593</v>
      </c>
      <c r="AW101" s="1045">
        <f t="shared" si="80"/>
        <v>0</v>
      </c>
      <c r="AX101" s="1044">
        <f t="shared" si="44"/>
        <v>221.35679009694397</v>
      </c>
      <c r="AY101" s="1044">
        <f t="shared" si="49"/>
        <v>12.532054395559523</v>
      </c>
      <c r="AZ101" s="1046">
        <f t="shared" si="47"/>
        <v>8.3547029303730156</v>
      </c>
      <c r="BA101" s="4"/>
      <c r="BB101" s="1055">
        <f t="shared" si="81"/>
        <v>318.9500952023032</v>
      </c>
      <c r="BC101" s="1056">
        <f t="shared" si="82"/>
        <v>193.49836552522314</v>
      </c>
      <c r="BD101" s="1082">
        <f t="shared" si="90"/>
        <v>8.3547029303730156</v>
      </c>
      <c r="BE101" s="1056">
        <f t="shared" si="54"/>
        <v>520.8031636578994</v>
      </c>
      <c r="BF101" s="167">
        <v>0</v>
      </c>
      <c r="BG101" s="1075">
        <f t="shared" si="83"/>
        <v>520.8031636578994</v>
      </c>
      <c r="BI101" s="1055">
        <f t="shared" si="84"/>
        <v>318.9500952023032</v>
      </c>
      <c r="BJ101" s="1056">
        <f t="shared" si="85"/>
        <v>193.49836552522314</v>
      </c>
      <c r="BK101" s="1082">
        <f t="shared" si="86"/>
        <v>8.3547029303730156</v>
      </c>
      <c r="BL101" s="1056">
        <f t="shared" si="55"/>
        <v>520.8031636578994</v>
      </c>
      <c r="BM101" s="167">
        <v>0</v>
      </c>
      <c r="BN101" s="1075">
        <f t="shared" si="87"/>
        <v>520.8031636578994</v>
      </c>
    </row>
    <row r="102" spans="1:66">
      <c r="A102" s="927">
        <f>'Input data'!A132</f>
        <v>2032</v>
      </c>
      <c r="B102" s="824">
        <f>'Input data'!B132</f>
        <v>67.08666821358311</v>
      </c>
      <c r="C102" s="824">
        <f>'Recycling - Case 2'!AK112/B102</f>
        <v>282.03003311800558</v>
      </c>
      <c r="D102" s="825">
        <f>'Recycling - Case 2'!AM112</f>
        <v>0.117798766784085</v>
      </c>
      <c r="E102" s="826">
        <f>'Recycling - Case 2'!BE112</f>
        <v>0.21279871307702919</v>
      </c>
      <c r="F102" s="826">
        <f>'Recycling - Case 2'!BF112</f>
        <v>0.26988633802500545</v>
      </c>
      <c r="G102" s="826">
        <f>'Recycling - Case 2'!BG112</f>
        <v>5.5086215315124989E-2</v>
      </c>
      <c r="H102" s="826">
        <f>'Recycling - Case 2'!BH112</f>
        <v>0</v>
      </c>
      <c r="I102" s="826">
        <f>'Recycling - Case 2'!BI112</f>
        <v>0</v>
      </c>
      <c r="J102" s="826">
        <f>'Recycling - Case 2'!BJ112</f>
        <v>0</v>
      </c>
      <c r="K102" s="826">
        <f>'Recycling - Case 2'!BK112</f>
        <v>0.46222873358284033</v>
      </c>
      <c r="L102" s="827">
        <f t="shared" si="89"/>
        <v>1</v>
      </c>
      <c r="M102" s="4"/>
      <c r="N102" s="838">
        <f t="shared" si="56"/>
        <v>2228.8062963921589</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832">
        <f t="shared" si="57"/>
        <v>120.27927102555576</v>
      </c>
      <c r="R102" s="832">
        <f t="shared" si="58"/>
        <v>120.27927102555576</v>
      </c>
      <c r="S102" s="835">
        <f t="shared" si="59"/>
        <v>0</v>
      </c>
      <c r="T102" s="832">
        <f t="shared" si="60"/>
        <v>9127.7892631603099</v>
      </c>
      <c r="U102" s="832">
        <f t="shared" si="61"/>
        <v>461.82491291474042</v>
      </c>
      <c r="V102" s="839">
        <f t="shared" si="62"/>
        <v>307.88327527649363</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5384.9444976895302</v>
      </c>
      <c r="AE102" s="854">
        <f t="shared" si="68"/>
        <v>276.09200832058019</v>
      </c>
      <c r="AF102" s="856">
        <f t="shared" si="69"/>
        <v>184.06133888038678</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5384.9444976895302</v>
      </c>
      <c r="AO102" s="854">
        <f t="shared" si="75"/>
        <v>276.09200832058019</v>
      </c>
      <c r="AP102" s="856">
        <f t="shared" si="76"/>
        <v>184.06133888038678</v>
      </c>
      <c r="AQ102" s="4"/>
      <c r="AR102" s="1042">
        <f>'Recycling - Case 2'!G112</f>
        <v>754.08460571776459</v>
      </c>
      <c r="AS102" s="1043">
        <v>1</v>
      </c>
      <c r="AT102" s="1043">
        <f t="shared" si="77"/>
        <v>0.05</v>
      </c>
      <c r="AU102" s="1044">
        <f t="shared" si="78"/>
        <v>18.852115142944115</v>
      </c>
      <c r="AV102" s="1044">
        <f t="shared" si="79"/>
        <v>18.852115142944115</v>
      </c>
      <c r="AW102" s="1045">
        <f t="shared" si="80"/>
        <v>0</v>
      </c>
      <c r="AX102" s="1044">
        <f t="shared" si="44"/>
        <v>227.318089324299</v>
      </c>
      <c r="AY102" s="1044">
        <f t="shared" si="49"/>
        <v>12.890815915589085</v>
      </c>
      <c r="AZ102" s="1046">
        <f t="shared" si="47"/>
        <v>8.5938772770593896</v>
      </c>
      <c r="BA102" s="4"/>
      <c r="BB102" s="1055">
        <f t="shared" si="81"/>
        <v>307.88327527649363</v>
      </c>
      <c r="BC102" s="1056">
        <f t="shared" si="82"/>
        <v>184.06133888038678</v>
      </c>
      <c r="BD102" s="1082">
        <f t="shared" si="90"/>
        <v>8.5938772770593896</v>
      </c>
      <c r="BE102" s="1056">
        <f t="shared" si="54"/>
        <v>500.53849143393984</v>
      </c>
      <c r="BF102" s="167">
        <v>0</v>
      </c>
      <c r="BG102" s="1075">
        <f t="shared" si="83"/>
        <v>500.53849143393984</v>
      </c>
      <c r="BI102" s="1055">
        <f t="shared" si="84"/>
        <v>307.88327527649363</v>
      </c>
      <c r="BJ102" s="1056">
        <f t="shared" si="85"/>
        <v>184.06133888038678</v>
      </c>
      <c r="BK102" s="1082">
        <f t="shared" si="86"/>
        <v>8.5938772770593896</v>
      </c>
      <c r="BL102" s="1056">
        <f t="shared" si="55"/>
        <v>500.53849143393984</v>
      </c>
      <c r="BM102" s="167">
        <v>0</v>
      </c>
      <c r="BN102" s="1075">
        <f t="shared" si="87"/>
        <v>500.53849143393984</v>
      </c>
    </row>
    <row r="103" spans="1:66">
      <c r="A103" s="927">
        <f>'Input data'!A133</f>
        <v>2033</v>
      </c>
      <c r="B103" s="824">
        <f>'Input data'!B133</f>
        <v>67.659204065895452</v>
      </c>
      <c r="C103" s="824">
        <f>'Recycling - Case 2'!AK113/B103</f>
        <v>280.78520384759781</v>
      </c>
      <c r="D103" s="825">
        <f>'Recycling - Case 2'!AM113</f>
        <v>0.11731977538457024</v>
      </c>
      <c r="E103" s="826">
        <f>'Recycling - Case 2'!BE113</f>
        <v>0.21347476249844466</v>
      </c>
      <c r="F103" s="826">
        <f>'Recycling - Case 2'!BF113</f>
        <v>0.27074375158748171</v>
      </c>
      <c r="G103" s="826">
        <f>'Recycling - Case 2'!BG113</f>
        <v>5.492292470794579E-2</v>
      </c>
      <c r="H103" s="826">
        <f>'Recycling - Case 2'!BH113</f>
        <v>0</v>
      </c>
      <c r="I103" s="826">
        <f>'Recycling - Case 2'!BI113</f>
        <v>0</v>
      </c>
      <c r="J103" s="826">
        <f>'Recycling - Case 2'!BJ113</f>
        <v>0</v>
      </c>
      <c r="K103" s="826">
        <f>'Recycling - Case 2'!BK113</f>
        <v>0.46085856120612789</v>
      </c>
      <c r="L103" s="827">
        <f t="shared" si="89"/>
        <v>1</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832">
        <f t="shared" si="57"/>
        <v>120.51059201407134</v>
      </c>
      <c r="R103" s="832">
        <f t="shared" si="58"/>
        <v>120.51059201407134</v>
      </c>
      <c r="S103" s="835">
        <f t="shared" si="59"/>
        <v>0</v>
      </c>
      <c r="T103" s="832">
        <f t="shared" si="60"/>
        <v>8803.1323197738493</v>
      </c>
      <c r="U103" s="832">
        <f t="shared" si="61"/>
        <v>445.1675354005319</v>
      </c>
      <c r="V103" s="839">
        <f t="shared" si="62"/>
        <v>296.77835693368792</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5122.3176555054979</v>
      </c>
      <c r="AE103" s="854">
        <f t="shared" si="68"/>
        <v>262.62684218403189</v>
      </c>
      <c r="AF103" s="856">
        <f t="shared" si="69"/>
        <v>175.08456145602125</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5122.3176555054979</v>
      </c>
      <c r="AO103" s="854">
        <f t="shared" si="75"/>
        <v>262.62684218403189</v>
      </c>
      <c r="AP103" s="856">
        <f t="shared" si="76"/>
        <v>175.08456145602125</v>
      </c>
      <c r="AQ103" s="4"/>
      <c r="AR103" s="1042">
        <f>'Recycling - Case 2'!G113</f>
        <v>760.52016860897436</v>
      </c>
      <c r="AS103" s="1043">
        <v>1</v>
      </c>
      <c r="AT103" s="1043">
        <f t="shared" si="77"/>
        <v>0.05</v>
      </c>
      <c r="AU103" s="1044">
        <f t="shared" si="78"/>
        <v>19.01300421522436</v>
      </c>
      <c r="AV103" s="1044">
        <f t="shared" si="79"/>
        <v>19.01300421522436</v>
      </c>
      <c r="AW103" s="1045">
        <f t="shared" si="80"/>
        <v>0</v>
      </c>
      <c r="AX103" s="1044">
        <f t="shared" si="44"/>
        <v>233.0931185829854</v>
      </c>
      <c r="AY103" s="1044">
        <f t="shared" si="49"/>
        <v>13.237974956537963</v>
      </c>
      <c r="AZ103" s="1046">
        <f t="shared" si="47"/>
        <v>8.8253166376919747</v>
      </c>
      <c r="BA103" s="4"/>
      <c r="BB103" s="1055">
        <f t="shared" si="81"/>
        <v>296.77835693368792</v>
      </c>
      <c r="BC103" s="1056">
        <f t="shared" si="82"/>
        <v>175.08456145602125</v>
      </c>
      <c r="BD103" s="1082">
        <f t="shared" si="90"/>
        <v>8.8253166376919747</v>
      </c>
      <c r="BE103" s="1056">
        <f t="shared" si="54"/>
        <v>480.68823502740116</v>
      </c>
      <c r="BF103" s="167">
        <v>0</v>
      </c>
      <c r="BG103" s="1075">
        <f t="shared" si="83"/>
        <v>480.68823502740116</v>
      </c>
      <c r="BI103" s="1055">
        <f t="shared" si="84"/>
        <v>296.77835693368792</v>
      </c>
      <c r="BJ103" s="1056">
        <f t="shared" si="85"/>
        <v>175.08456145602125</v>
      </c>
      <c r="BK103" s="1082">
        <f t="shared" si="86"/>
        <v>8.8253166376919747</v>
      </c>
      <c r="BL103" s="1056">
        <f t="shared" si="55"/>
        <v>480.68823502740116</v>
      </c>
      <c r="BM103" s="167">
        <v>0</v>
      </c>
      <c r="BN103" s="1075">
        <f t="shared" si="87"/>
        <v>480.68823502740116</v>
      </c>
    </row>
    <row r="104" spans="1:66">
      <c r="A104" s="927">
        <f>'Input data'!A134</f>
        <v>2034</v>
      </c>
      <c r="B104" s="824">
        <f>'Input data'!B134</f>
        <v>68.236626094715163</v>
      </c>
      <c r="C104" s="824">
        <f>'Recycling - Case 2'!AK114/B104</f>
        <v>279.5517936159477</v>
      </c>
      <c r="D104" s="825">
        <f>'Recycling - Case 2'!AM114</f>
        <v>0.11684025538406186</v>
      </c>
      <c r="E104" s="826">
        <f>'Recycling - Case 2'!BE114</f>
        <v>0.21414114548957475</v>
      </c>
      <c r="F104" s="826">
        <f>'Recycling - Case 2'!BF114</f>
        <v>0.27158890550123271</v>
      </c>
      <c r="G104" s="826">
        <f>'Recycling - Case 2'!BG114</f>
        <v>5.4761968896449478E-2</v>
      </c>
      <c r="H104" s="826">
        <f>'Recycling - Case 2'!BH114</f>
        <v>0</v>
      </c>
      <c r="I104" s="826">
        <f>'Recycling - Case 2'!BI114</f>
        <v>0</v>
      </c>
      <c r="J104" s="826">
        <f>'Recycling - Case 2'!BJ114</f>
        <v>0</v>
      </c>
      <c r="K104" s="826">
        <f>'Recycling - Case 2'!BK114</f>
        <v>0.45950798011274291</v>
      </c>
      <c r="L104" s="827">
        <f t="shared" si="89"/>
        <v>0.99999999999999978</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4872.4992755563417</v>
      </c>
      <c r="AE104" s="854">
        <f t="shared" si="68"/>
        <v>249.81837994915645</v>
      </c>
      <c r="AF104" s="856">
        <f t="shared" si="69"/>
        <v>166.54558663277098</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4872.4992755563417</v>
      </c>
      <c r="AO104" s="854">
        <f t="shared" si="75"/>
        <v>249.81837994915645</v>
      </c>
      <c r="AP104" s="856">
        <f t="shared" si="76"/>
        <v>166.54558663277098</v>
      </c>
      <c r="AQ104" s="4"/>
      <c r="AR104" s="1042">
        <f>'Recycling - Case 2'!G114</f>
        <v>767.01065434227985</v>
      </c>
      <c r="AS104" s="1043">
        <v>1</v>
      </c>
      <c r="AT104" s="1043">
        <f t="shared" si="77"/>
        <v>0.05</v>
      </c>
      <c r="AU104" s="1044">
        <f t="shared" si="78"/>
        <v>19.175266358556996</v>
      </c>
      <c r="AV104" s="1044">
        <f t="shared" si="79"/>
        <v>19.175266358556996</v>
      </c>
      <c r="AW104" s="1045">
        <f t="shared" si="80"/>
        <v>0</v>
      </c>
      <c r="AX104" s="1044">
        <f t="shared" si="44"/>
        <v>238.69409846256022</v>
      </c>
      <c r="AY104" s="1044">
        <f t="shared" si="49"/>
        <v>13.574286478982177</v>
      </c>
      <c r="AZ104" s="1046">
        <f t="shared" si="47"/>
        <v>9.049524319321451</v>
      </c>
      <c r="BA104" s="4"/>
      <c r="BB104" s="1055">
        <f t="shared" si="81"/>
        <v>286.22255295449003</v>
      </c>
      <c r="BC104" s="1056">
        <f t="shared" si="82"/>
        <v>166.54558663277098</v>
      </c>
      <c r="BD104" s="1082">
        <f t="shared" si="90"/>
        <v>9.049524319321451</v>
      </c>
      <c r="BE104" s="1056">
        <f t="shared" si="54"/>
        <v>461.81766390658242</v>
      </c>
      <c r="BF104" s="167">
        <v>0</v>
      </c>
      <c r="BG104" s="1075">
        <f t="shared" si="83"/>
        <v>461.81766390658242</v>
      </c>
      <c r="BI104" s="1055">
        <f t="shared" si="84"/>
        <v>286.22255295449003</v>
      </c>
      <c r="BJ104" s="1056">
        <f t="shared" si="85"/>
        <v>166.54558663277098</v>
      </c>
      <c r="BK104" s="1082">
        <f t="shared" si="86"/>
        <v>9.049524319321451</v>
      </c>
      <c r="BL104" s="1056">
        <f t="shared" si="55"/>
        <v>461.81766390658242</v>
      </c>
      <c r="BM104" s="167">
        <v>0</v>
      </c>
      <c r="BN104" s="1075">
        <f t="shared" si="87"/>
        <v>461.81766390658242</v>
      </c>
    </row>
    <row r="105" spans="1:66">
      <c r="A105" s="927">
        <f>'Input data'!A135</f>
        <v>2035</v>
      </c>
      <c r="B105" s="824">
        <f>'Input data'!B135</f>
        <v>68.818976000000006</v>
      </c>
      <c r="C105" s="824">
        <f>'Recycling - Case 2'!AK115/B105</f>
        <v>278.32968324673374</v>
      </c>
      <c r="D105" s="825">
        <f>'Recycling - Case 2'!AM115</f>
        <v>0.11636023627094678</v>
      </c>
      <c r="E105" s="826">
        <f>'Recycling - Case 2'!BE115</f>
        <v>0.21479804434918434</v>
      </c>
      <c r="F105" s="826">
        <f>'Recycling - Case 2'!BF115</f>
        <v>0.27242203097041112</v>
      </c>
      <c r="G105" s="826">
        <f>'Recycling - Case 2'!BG115</f>
        <v>5.4603303848831559E-2</v>
      </c>
      <c r="H105" s="826">
        <f>'Recycling - Case 2'!BH115</f>
        <v>0</v>
      </c>
      <c r="I105" s="826">
        <f>'Recycling - Case 2'!BI115</f>
        <v>0</v>
      </c>
      <c r="J105" s="826">
        <f>'Recycling - Case 2'!BJ115</f>
        <v>0</v>
      </c>
      <c r="K105" s="826">
        <f>'Recycling - Case 2'!BK115</f>
        <v>0.45817662083157323</v>
      </c>
      <c r="L105" s="827">
        <f t="shared" si="89"/>
        <v>1.0000000000000002</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4634.8646817676045</v>
      </c>
      <c r="AE105" s="854">
        <f t="shared" si="68"/>
        <v>237.63459378873682</v>
      </c>
      <c r="AF105" s="856">
        <f t="shared" si="69"/>
        <v>158.42306252582455</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4634.8646817676045</v>
      </c>
      <c r="AO105" s="854">
        <f t="shared" si="75"/>
        <v>237.63459378873682</v>
      </c>
      <c r="AP105" s="856">
        <f t="shared" si="76"/>
        <v>158.42306252582455</v>
      </c>
      <c r="AQ105" s="4"/>
      <c r="AR105" s="1042">
        <f>'Recycling - Case 2'!G115</f>
        <v>773.55653164413684</v>
      </c>
      <c r="AS105" s="1043">
        <v>1</v>
      </c>
      <c r="AT105" s="1043">
        <f t="shared" si="77"/>
        <v>0.05</v>
      </c>
      <c r="AU105" s="1044">
        <f t="shared" si="78"/>
        <v>19.338913291103424</v>
      </c>
      <c r="AV105" s="1044">
        <f t="shared" si="79"/>
        <v>19.338913291103424</v>
      </c>
      <c r="AW105" s="1045">
        <f t="shared" si="80"/>
        <v>0</v>
      </c>
      <c r="AX105" s="1044">
        <f t="shared" si="44"/>
        <v>244.13254959900917</v>
      </c>
      <c r="AY105" s="1044">
        <f t="shared" si="49"/>
        <v>13.900462154654456</v>
      </c>
      <c r="AZ105" s="1046">
        <f t="shared" si="47"/>
        <v>9.2669747697696376</v>
      </c>
      <c r="BA105" s="4"/>
      <c r="BB105" s="1055">
        <f t="shared" si="81"/>
        <v>276.1889751755437</v>
      </c>
      <c r="BC105" s="1056">
        <f t="shared" si="82"/>
        <v>158.42306252582455</v>
      </c>
      <c r="BD105" s="1082">
        <f t="shared" si="90"/>
        <v>9.2669747697696376</v>
      </c>
      <c r="BE105" s="1056">
        <f t="shared" si="54"/>
        <v>443.87901247113791</v>
      </c>
      <c r="BF105" s="167">
        <v>0</v>
      </c>
      <c r="BG105" s="1075">
        <f t="shared" si="83"/>
        <v>443.87901247113791</v>
      </c>
      <c r="BI105" s="1055">
        <f t="shared" si="84"/>
        <v>276.1889751755437</v>
      </c>
      <c r="BJ105" s="1056">
        <f t="shared" si="85"/>
        <v>158.42306252582455</v>
      </c>
      <c r="BK105" s="1082">
        <f t="shared" si="86"/>
        <v>9.2669747697696376</v>
      </c>
      <c r="BL105" s="1056">
        <f t="shared" si="55"/>
        <v>443.87901247113791</v>
      </c>
      <c r="BM105" s="167">
        <v>0</v>
      </c>
      <c r="BN105" s="1075">
        <f t="shared" si="87"/>
        <v>443.87901247113791</v>
      </c>
    </row>
    <row r="106" spans="1:66">
      <c r="A106" s="927">
        <f>'Input data'!A136</f>
        <v>2036</v>
      </c>
      <c r="B106" s="824">
        <f>'Input data'!B136</f>
        <v>69.322810489383542</v>
      </c>
      <c r="C106" s="824">
        <f>'Recycling - Case 2'!AK116/B106</f>
        <v>277.28958269275716</v>
      </c>
      <c r="D106" s="825">
        <f>'Recycling - Case 2'!AM116</f>
        <v>0.11594782602683691</v>
      </c>
      <c r="E106" s="826">
        <f>'Recycling - Case 2'!BE116</f>
        <v>0.21535447797222657</v>
      </c>
      <c r="F106" s="826">
        <f>'Recycling - Case 2'!BF116</f>
        <v>0.27312773934009704</v>
      </c>
      <c r="G106" s="826">
        <f>'Recycling - Case 2'!BG116</f>
        <v>5.4468904822246644E-2</v>
      </c>
      <c r="H106" s="826">
        <f>'Recycling - Case 2'!BH116</f>
        <v>0</v>
      </c>
      <c r="I106" s="826">
        <f>'Recycling - Case 2'!BI116</f>
        <v>0</v>
      </c>
      <c r="J106" s="826">
        <f>'Recycling - Case 2'!BJ116</f>
        <v>0</v>
      </c>
      <c r="K106" s="826">
        <f>'Recycling - Case 2'!BK116</f>
        <v>0.45704887786542953</v>
      </c>
      <c r="L106" s="827">
        <f t="shared" si="89"/>
        <v>0.99999999999999978</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4408.819663876483</v>
      </c>
      <c r="AE106" s="854">
        <f t="shared" si="68"/>
        <v>226.04501789112106</v>
      </c>
      <c r="AF106" s="856">
        <f t="shared" si="69"/>
        <v>150.69667859408071</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4408.819663876483</v>
      </c>
      <c r="AO106" s="854">
        <f t="shared" si="75"/>
        <v>226.04501789112106</v>
      </c>
      <c r="AP106" s="856">
        <f t="shared" si="76"/>
        <v>150.69667859408071</v>
      </c>
      <c r="AQ106" s="4"/>
      <c r="AR106" s="1042">
        <f>'Recycling - Case 2'!G116</f>
        <v>779.21986002801486</v>
      </c>
      <c r="AS106" s="1043">
        <v>1</v>
      </c>
      <c r="AT106" s="1043">
        <f t="shared" si="77"/>
        <v>0.05</v>
      </c>
      <c r="AU106" s="1044">
        <f t="shared" si="78"/>
        <v>19.480496500700372</v>
      </c>
      <c r="AV106" s="1044">
        <f t="shared" si="79"/>
        <v>19.480496500700372</v>
      </c>
      <c r="AW106" s="1045">
        <f t="shared" si="80"/>
        <v>0</v>
      </c>
      <c r="AX106" s="1044">
        <f t="shared" si="44"/>
        <v>249.39587320654471</v>
      </c>
      <c r="AY106" s="1044">
        <f t="shared" si="49"/>
        <v>14.217172893164832</v>
      </c>
      <c r="AZ106" s="1046">
        <f t="shared" si="47"/>
        <v>9.4781152621098883</v>
      </c>
      <c r="BA106" s="4"/>
      <c r="BB106" s="1055">
        <f t="shared" si="81"/>
        <v>266.65204881278231</v>
      </c>
      <c r="BC106" s="1056">
        <f t="shared" si="82"/>
        <v>150.69667859408071</v>
      </c>
      <c r="BD106" s="1082">
        <f t="shared" si="90"/>
        <v>9.4781152621098883</v>
      </c>
      <c r="BE106" s="1056">
        <f t="shared" si="54"/>
        <v>426.82684266897292</v>
      </c>
      <c r="BF106" s="167">
        <v>0</v>
      </c>
      <c r="BG106" s="1075">
        <f t="shared" si="83"/>
        <v>426.82684266897292</v>
      </c>
      <c r="BI106" s="1055">
        <f t="shared" si="84"/>
        <v>266.65204881278231</v>
      </c>
      <c r="BJ106" s="1056">
        <f t="shared" si="85"/>
        <v>150.69667859408071</v>
      </c>
      <c r="BK106" s="1082">
        <f t="shared" si="86"/>
        <v>9.4781152621098883</v>
      </c>
      <c r="BL106" s="1056">
        <f t="shared" si="55"/>
        <v>426.82684266897292</v>
      </c>
      <c r="BM106" s="167">
        <v>0</v>
      </c>
      <c r="BN106" s="1075">
        <f t="shared" si="87"/>
        <v>426.82684266897292</v>
      </c>
    </row>
    <row r="107" spans="1:66">
      <c r="A107" s="927">
        <f>'Input data'!A137</f>
        <v>2037</v>
      </c>
      <c r="B107" s="824">
        <f>'Input data'!B137</f>
        <v>69.830333629884052</v>
      </c>
      <c r="C107" s="824">
        <f>'Recycling - Case 2'!AK117/B107</f>
        <v>276.25764791535482</v>
      </c>
      <c r="D107" s="825">
        <f>'Recycling - Case 2'!AM117</f>
        <v>0.11553508790560191</v>
      </c>
      <c r="E107" s="826">
        <f>'Recycling - Case 2'!BE117</f>
        <v>0.21590416467961743</v>
      </c>
      <c r="F107" s="826">
        <f>'Recycling - Case 2'!BF117</f>
        <v>0.27382489079544936</v>
      </c>
      <c r="G107" s="826">
        <f>'Recycling - Case 2'!BG117</f>
        <v>5.4336135422015146E-2</v>
      </c>
      <c r="H107" s="826">
        <f>'Recycling - Case 2'!BH117</f>
        <v>0</v>
      </c>
      <c r="I107" s="826">
        <f>'Recycling - Case 2'!BI117</f>
        <v>0</v>
      </c>
      <c r="J107" s="826">
        <f>'Recycling - Case 2'!BJ117</f>
        <v>0</v>
      </c>
      <c r="K107" s="826">
        <f>'Recycling - Case 2'!BK117</f>
        <v>0.45593480910291823</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2'!AM157</f>
        <v>42.366317639742377</v>
      </c>
      <c r="Y107" s="853">
        <f>Parameters!S242</f>
        <v>0.71500000000000008</v>
      </c>
      <c r="Z107" s="853">
        <f t="shared" si="63"/>
        <v>0.4</v>
      </c>
      <c r="AA107" s="854">
        <f t="shared" si="64"/>
        <v>6.0583834224831605</v>
      </c>
      <c r="AB107" s="854">
        <f t="shared" si="65"/>
        <v>6.0583834224831605</v>
      </c>
      <c r="AC107" s="855">
        <f t="shared" si="66"/>
        <v>0</v>
      </c>
      <c r="AD107" s="854">
        <f t="shared" si="67"/>
        <v>4199.8573750191417</v>
      </c>
      <c r="AE107" s="854">
        <f t="shared" si="68"/>
        <v>215.02067227982468</v>
      </c>
      <c r="AF107" s="856">
        <f t="shared" si="69"/>
        <v>143.34711485321645</v>
      </c>
      <c r="AG107" s="4"/>
      <c r="AH107" s="852">
        <f>'Recycling - Case 2'!AM197</f>
        <v>42.366317639742377</v>
      </c>
      <c r="AI107" s="853">
        <f>Parameters!S242</f>
        <v>0.71500000000000008</v>
      </c>
      <c r="AJ107" s="853">
        <f t="shared" si="70"/>
        <v>0.4</v>
      </c>
      <c r="AK107" s="854">
        <f t="shared" si="71"/>
        <v>6.0583834224831605</v>
      </c>
      <c r="AL107" s="854">
        <f t="shared" si="72"/>
        <v>6.0583834224831605</v>
      </c>
      <c r="AM107" s="855">
        <f t="shared" si="73"/>
        <v>0</v>
      </c>
      <c r="AN107" s="854">
        <f t="shared" si="74"/>
        <v>4199.8573750191417</v>
      </c>
      <c r="AO107" s="854">
        <f t="shared" si="75"/>
        <v>215.02067227982468</v>
      </c>
      <c r="AP107" s="856">
        <f t="shared" si="76"/>
        <v>143.34711485321645</v>
      </c>
      <c r="AQ107" s="4"/>
      <c r="AR107" s="1042">
        <f>'Recycling - Case 2'!G117</f>
        <v>784.92465052496607</v>
      </c>
      <c r="AS107" s="1043">
        <v>1</v>
      </c>
      <c r="AT107" s="1043">
        <f t="shared" si="77"/>
        <v>0.05</v>
      </c>
      <c r="AU107" s="1044">
        <f t="shared" si="78"/>
        <v>19.623116263124153</v>
      </c>
      <c r="AV107" s="1044">
        <f t="shared" si="79"/>
        <v>19.623116263124153</v>
      </c>
      <c r="AW107" s="1045">
        <f t="shared" si="80"/>
        <v>0</v>
      </c>
      <c r="AX107" s="1044">
        <f t="shared" si="44"/>
        <v>254.49530447132216</v>
      </c>
      <c r="AY107" s="1044">
        <f t="shared" si="49"/>
        <v>14.523684998346699</v>
      </c>
      <c r="AZ107" s="1046">
        <f t="shared" si="47"/>
        <v>9.6824566655644659</v>
      </c>
      <c r="BA107" s="4"/>
      <c r="BB107" s="1055">
        <f t="shared" si="81"/>
        <v>257.58643420683467</v>
      </c>
      <c r="BC107" s="1056">
        <f t="shared" si="82"/>
        <v>143.34711485321645</v>
      </c>
      <c r="BD107" s="1082">
        <f t="shared" si="90"/>
        <v>9.6824566655644659</v>
      </c>
      <c r="BE107" s="1056">
        <f t="shared" si="54"/>
        <v>410.61600572561559</v>
      </c>
      <c r="BF107" s="167">
        <v>0</v>
      </c>
      <c r="BG107" s="1075">
        <f t="shared" si="83"/>
        <v>410.61600572561559</v>
      </c>
      <c r="BI107" s="1055">
        <f t="shared" si="84"/>
        <v>257.58643420683467</v>
      </c>
      <c r="BJ107" s="1056">
        <f t="shared" si="85"/>
        <v>143.34711485321645</v>
      </c>
      <c r="BK107" s="1082">
        <f t="shared" si="86"/>
        <v>9.6824566655644659</v>
      </c>
      <c r="BL107" s="1056">
        <f t="shared" si="55"/>
        <v>410.61600572561559</v>
      </c>
      <c r="BM107" s="167">
        <v>0</v>
      </c>
      <c r="BN107" s="1075">
        <f t="shared" si="87"/>
        <v>410.61600572561559</v>
      </c>
    </row>
    <row r="108" spans="1:66">
      <c r="A108" s="927">
        <f>'Input data'!A138</f>
        <v>2038</v>
      </c>
      <c r="B108" s="824">
        <f>'Input data'!B138</f>
        <v>70.341572426693446</v>
      </c>
      <c r="C108" s="824">
        <f>'Recycling - Case 2'!AK118/B108</f>
        <v>275.23380642431778</v>
      </c>
      <c r="D108" s="825">
        <f>'Recycling - Case 2'!AM118</f>
        <v>0.11512204010082239</v>
      </c>
      <c r="E108" s="826">
        <f>'Recycling - Case 2'!BE118</f>
        <v>0.21644721208362872</v>
      </c>
      <c r="F108" s="826">
        <f>'Recycling - Case 2'!BF118</f>
        <v>0.27451362181794159</v>
      </c>
      <c r="G108" s="826">
        <f>'Recycling - Case 2'!BG118</f>
        <v>5.4204969655846105E-2</v>
      </c>
      <c r="H108" s="826">
        <f>'Recycling - Case 2'!BH118</f>
        <v>0</v>
      </c>
      <c r="I108" s="826">
        <f>'Recycling - Case 2'!BI118</f>
        <v>0</v>
      </c>
      <c r="J108" s="826">
        <f>'Recycling - Case 2'!BJ118</f>
        <v>0</v>
      </c>
      <c r="K108" s="826">
        <f>'Recycling - Case 2'!BK118</f>
        <v>0.45483419644258377</v>
      </c>
      <c r="L108" s="827">
        <f t="shared" si="89"/>
        <v>1.0000000000000002</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2'!AM158</f>
        <v>127.29730020021991</v>
      </c>
      <c r="Y108" s="853">
        <f>Parameters!S243</f>
        <v>0.71500000000000008</v>
      </c>
      <c r="Z108" s="853">
        <f t="shared" si="63"/>
        <v>0.4</v>
      </c>
      <c r="AA108" s="854">
        <f t="shared" si="64"/>
        <v>18.203513928631448</v>
      </c>
      <c r="AB108" s="854">
        <f t="shared" si="65"/>
        <v>18.203513928631448</v>
      </c>
      <c r="AC108" s="855">
        <f t="shared" si="66"/>
        <v>0</v>
      </c>
      <c r="AD108" s="854">
        <f t="shared" si="67"/>
        <v>4013.2314277531691</v>
      </c>
      <c r="AE108" s="854">
        <f t="shared" si="68"/>
        <v>204.82946119460411</v>
      </c>
      <c r="AF108" s="856">
        <f t="shared" si="69"/>
        <v>136.55297412973607</v>
      </c>
      <c r="AG108" s="4"/>
      <c r="AH108" s="852">
        <f>'Recycling - Case 2'!AM198</f>
        <v>127.29730020021991</v>
      </c>
      <c r="AI108" s="853">
        <f>Parameters!S243</f>
        <v>0.71500000000000008</v>
      </c>
      <c r="AJ108" s="853">
        <f t="shared" si="70"/>
        <v>0.4</v>
      </c>
      <c r="AK108" s="854">
        <f t="shared" si="71"/>
        <v>18.203513928631448</v>
      </c>
      <c r="AL108" s="854">
        <f t="shared" si="72"/>
        <v>18.203513928631448</v>
      </c>
      <c r="AM108" s="855">
        <f t="shared" si="73"/>
        <v>0</v>
      </c>
      <c r="AN108" s="854">
        <f t="shared" si="74"/>
        <v>4013.2314277531691</v>
      </c>
      <c r="AO108" s="854">
        <f t="shared" si="75"/>
        <v>204.82946119460411</v>
      </c>
      <c r="AP108" s="856">
        <f t="shared" si="76"/>
        <v>136.55297412973607</v>
      </c>
      <c r="AQ108" s="4"/>
      <c r="AR108" s="1042">
        <f>'Recycling - Case 2'!G118</f>
        <v>790.67120668560699</v>
      </c>
      <c r="AS108" s="1043">
        <v>1</v>
      </c>
      <c r="AT108" s="1043">
        <f t="shared" si="77"/>
        <v>0.05</v>
      </c>
      <c r="AU108" s="1044">
        <f t="shared" si="78"/>
        <v>19.766780167140176</v>
      </c>
      <c r="AV108" s="1044">
        <f t="shared" si="79"/>
        <v>19.766780167140176</v>
      </c>
      <c r="AW108" s="1045">
        <f t="shared" si="80"/>
        <v>0</v>
      </c>
      <c r="AX108" s="1044">
        <f t="shared" si="44"/>
        <v>259.44143188195625</v>
      </c>
      <c r="AY108" s="1044">
        <f t="shared" si="49"/>
        <v>14.820652756506078</v>
      </c>
      <c r="AZ108" s="1046">
        <f t="shared" si="47"/>
        <v>9.8804351710040521</v>
      </c>
      <c r="BA108" s="4"/>
      <c r="BB108" s="1055">
        <f t="shared" si="81"/>
        <v>248.9690701520926</v>
      </c>
      <c r="BC108" s="1056">
        <f t="shared" si="82"/>
        <v>136.55297412973607</v>
      </c>
      <c r="BD108" s="1082">
        <f t="shared" si="90"/>
        <v>9.8804351710040521</v>
      </c>
      <c r="BE108" s="1056">
        <f t="shared" si="54"/>
        <v>395.40247945283272</v>
      </c>
      <c r="BF108" s="167">
        <v>0</v>
      </c>
      <c r="BG108" s="1075">
        <f t="shared" si="83"/>
        <v>395.40247945283272</v>
      </c>
      <c r="BI108" s="1055">
        <f t="shared" si="84"/>
        <v>248.9690701520926</v>
      </c>
      <c r="BJ108" s="1056">
        <f t="shared" si="85"/>
        <v>136.55297412973607</v>
      </c>
      <c r="BK108" s="1082">
        <f t="shared" si="86"/>
        <v>9.8804351710040521</v>
      </c>
      <c r="BL108" s="1056">
        <f t="shared" si="55"/>
        <v>395.40247945283272</v>
      </c>
      <c r="BM108" s="167">
        <v>0</v>
      </c>
      <c r="BN108" s="1075">
        <f t="shared" si="87"/>
        <v>395.40247945283272</v>
      </c>
    </row>
    <row r="109" spans="1:66">
      <c r="A109" s="927">
        <f>'Input data'!A139</f>
        <v>2039</v>
      </c>
      <c r="B109" s="824">
        <f>'Input data'!B139</f>
        <v>70.856554082712819</v>
      </c>
      <c r="C109" s="824">
        <f>'Recycling - Case 2'!AK119/B109</f>
        <v>274.21798658222781</v>
      </c>
      <c r="D109" s="825">
        <f>'Recycling - Case 2'!AM119</f>
        <v>0.11470870066993408</v>
      </c>
      <c r="E109" s="826">
        <f>'Recycling - Case 2'!BE119</f>
        <v>0.21698372556164097</v>
      </c>
      <c r="F109" s="826">
        <f>'Recycling - Case 2'!BF119</f>
        <v>0.27519406605460101</v>
      </c>
      <c r="G109" s="826">
        <f>'Recycling - Case 2'!BG119</f>
        <v>5.4075382071256443E-2</v>
      </c>
      <c r="H109" s="826">
        <f>'Recycling - Case 2'!BH119</f>
        <v>0</v>
      </c>
      <c r="I109" s="826">
        <f>'Recycling - Case 2'!BI119</f>
        <v>0</v>
      </c>
      <c r="J109" s="826">
        <f>'Recycling - Case 2'!BJ119</f>
        <v>0</v>
      </c>
      <c r="K109" s="826">
        <f>'Recycling - Case 2'!BK119</f>
        <v>0.45374682631250146</v>
      </c>
      <c r="L109" s="827">
        <f t="shared" si="89"/>
        <v>0.99999999999999978</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2'!AM159</f>
        <v>213.7171301888435</v>
      </c>
      <c r="Y109" s="853">
        <f>Parameters!S244</f>
        <v>0.71500000000000008</v>
      </c>
      <c r="Z109" s="853">
        <f t="shared" si="63"/>
        <v>0.4</v>
      </c>
      <c r="AA109" s="854">
        <f t="shared" si="64"/>
        <v>30.561549617004623</v>
      </c>
      <c r="AB109" s="854">
        <f t="shared" si="65"/>
        <v>30.561549617004623</v>
      </c>
      <c r="AC109" s="855">
        <f t="shared" si="66"/>
        <v>0</v>
      </c>
      <c r="AD109" s="854">
        <f t="shared" si="67"/>
        <v>3848.0653710268302</v>
      </c>
      <c r="AE109" s="854">
        <f t="shared" si="68"/>
        <v>195.72760634334321</v>
      </c>
      <c r="AF109" s="856">
        <f t="shared" si="69"/>
        <v>130.48507089556213</v>
      </c>
      <c r="AG109" s="4"/>
      <c r="AH109" s="852">
        <f>'Recycling - Case 2'!AM199</f>
        <v>213.7171301888435</v>
      </c>
      <c r="AI109" s="853">
        <f>Parameters!S244</f>
        <v>0.71500000000000008</v>
      </c>
      <c r="AJ109" s="853">
        <f t="shared" si="70"/>
        <v>0.4</v>
      </c>
      <c r="AK109" s="854">
        <f t="shared" si="71"/>
        <v>30.561549617004623</v>
      </c>
      <c r="AL109" s="854">
        <f t="shared" si="72"/>
        <v>30.561549617004623</v>
      </c>
      <c r="AM109" s="855">
        <f t="shared" si="73"/>
        <v>0</v>
      </c>
      <c r="AN109" s="854">
        <f t="shared" si="74"/>
        <v>3848.0653710268302</v>
      </c>
      <c r="AO109" s="854">
        <f t="shared" si="75"/>
        <v>195.72760634334321</v>
      </c>
      <c r="AP109" s="856">
        <f t="shared" si="76"/>
        <v>130.48507089556213</v>
      </c>
      <c r="AQ109" s="4"/>
      <c r="AR109" s="1042">
        <f>'Recycling - Case 2'!G119</f>
        <v>796.45983428289492</v>
      </c>
      <c r="AS109" s="1043">
        <v>1</v>
      </c>
      <c r="AT109" s="1043">
        <f t="shared" si="77"/>
        <v>0.05</v>
      </c>
      <c r="AU109" s="1044">
        <f t="shared" si="78"/>
        <v>19.911495857072374</v>
      </c>
      <c r="AV109" s="1044">
        <f t="shared" si="79"/>
        <v>19.911495857072374</v>
      </c>
      <c r="AW109" s="1045">
        <f t="shared" si="80"/>
        <v>0</v>
      </c>
      <c r="AX109" s="1044">
        <f t="shared" si="44"/>
        <v>264.24423494581254</v>
      </c>
      <c r="AY109" s="1044">
        <f t="shared" si="49"/>
        <v>15.108692793216086</v>
      </c>
      <c r="AZ109" s="1046">
        <f t="shared" si="47"/>
        <v>10.072461862144058</v>
      </c>
      <c r="BA109" s="4"/>
      <c r="BB109" s="1055">
        <f t="shared" si="81"/>
        <v>240.77802134841218</v>
      </c>
      <c r="BC109" s="1056">
        <f t="shared" si="82"/>
        <v>130.48507089556213</v>
      </c>
      <c r="BD109" s="1082">
        <f t="shared" si="90"/>
        <v>10.072461862144058</v>
      </c>
      <c r="BE109" s="1056">
        <f t="shared" si="54"/>
        <v>381.33555410611837</v>
      </c>
      <c r="BF109" s="167">
        <v>0</v>
      </c>
      <c r="BG109" s="1075">
        <f t="shared" si="83"/>
        <v>381.33555410611837</v>
      </c>
      <c r="BI109" s="1055">
        <f t="shared" si="84"/>
        <v>240.77802134841218</v>
      </c>
      <c r="BJ109" s="1056">
        <f t="shared" si="85"/>
        <v>130.48507089556213</v>
      </c>
      <c r="BK109" s="1082">
        <f t="shared" si="86"/>
        <v>10.072461862144058</v>
      </c>
      <c r="BL109" s="1056">
        <f t="shared" si="55"/>
        <v>381.33555410611837</v>
      </c>
      <c r="BM109" s="167">
        <v>0</v>
      </c>
      <c r="BN109" s="1075">
        <f t="shared" si="87"/>
        <v>381.33555410611837</v>
      </c>
    </row>
    <row r="110" spans="1:66">
      <c r="A110" s="927">
        <f>'Input data'!A140</f>
        <v>2040</v>
      </c>
      <c r="B110" s="824">
        <f>'Input data'!B140</f>
        <v>71.375305999999995</v>
      </c>
      <c r="C110" s="824">
        <f>'Recycling - Case 2'!AK120/B110</f>
        <v>273.21011758893553</v>
      </c>
      <c r="D110" s="825">
        <f>'Recycling - Case 2'!AM120</f>
        <v>0.11429508753609822</v>
      </c>
      <c r="E110" s="826">
        <f>'Recycling - Case 2'!BE120</f>
        <v>0.21751380831394043</v>
      </c>
      <c r="F110" s="826">
        <f>'Recycling - Case 2'!BF120</f>
        <v>0.27586635439130974</v>
      </c>
      <c r="G110" s="826">
        <f>'Recycling - Case 2'!BG120</f>
        <v>5.3947347741610877E-2</v>
      </c>
      <c r="H110" s="826">
        <f>'Recycling - Case 2'!BH120</f>
        <v>0</v>
      </c>
      <c r="I110" s="826">
        <f>'Recycling - Case 2'!BI120</f>
        <v>0</v>
      </c>
      <c r="J110" s="826">
        <f>'Recycling - Case 2'!BJ120</f>
        <v>0</v>
      </c>
      <c r="K110" s="826">
        <f>'Recycling - Case 2'!BK120</f>
        <v>0.45267248955313899</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2'!AM160</f>
        <v>301.5211010150029</v>
      </c>
      <c r="Y110" s="853">
        <f>Parameters!S245</f>
        <v>0.71500000000000008</v>
      </c>
      <c r="Z110" s="853">
        <f t="shared" si="63"/>
        <v>0.4</v>
      </c>
      <c r="AA110" s="854">
        <f t="shared" si="64"/>
        <v>43.117517445145424</v>
      </c>
      <c r="AB110" s="854">
        <f t="shared" si="65"/>
        <v>43.117517445145424</v>
      </c>
      <c r="AC110" s="855">
        <f t="shared" si="66"/>
        <v>0</v>
      </c>
      <c r="AD110" s="854">
        <f t="shared" si="67"/>
        <v>3703.5105257681239</v>
      </c>
      <c r="AE110" s="854">
        <f t="shared" si="68"/>
        <v>187.67236270385195</v>
      </c>
      <c r="AF110" s="856">
        <f t="shared" si="69"/>
        <v>125.11490846923463</v>
      </c>
      <c r="AG110" s="4"/>
      <c r="AH110" s="852">
        <f>'Recycling - Case 2'!AM200</f>
        <v>301.5211010150029</v>
      </c>
      <c r="AI110" s="853">
        <f>Parameters!S245</f>
        <v>0.71500000000000008</v>
      </c>
      <c r="AJ110" s="853">
        <f t="shared" si="70"/>
        <v>0.4</v>
      </c>
      <c r="AK110" s="854">
        <f t="shared" si="71"/>
        <v>43.117517445145424</v>
      </c>
      <c r="AL110" s="854">
        <f t="shared" si="72"/>
        <v>43.117517445145424</v>
      </c>
      <c r="AM110" s="855">
        <f t="shared" si="73"/>
        <v>0</v>
      </c>
      <c r="AN110" s="854">
        <f t="shared" si="74"/>
        <v>3703.5105257681239</v>
      </c>
      <c r="AO110" s="854">
        <f t="shared" si="75"/>
        <v>187.67236270385195</v>
      </c>
      <c r="AP110" s="856">
        <f t="shared" si="76"/>
        <v>125.11490846923463</v>
      </c>
      <c r="AQ110" s="4"/>
      <c r="AR110" s="1042">
        <f>'Recycling - Case 2'!G120</f>
        <v>802.29084132839955</v>
      </c>
      <c r="AS110" s="1043">
        <v>1</v>
      </c>
      <c r="AT110" s="1043">
        <f t="shared" si="77"/>
        <v>0.05</v>
      </c>
      <c r="AU110" s="1044">
        <f t="shared" si="78"/>
        <v>20.057271033209989</v>
      </c>
      <c r="AV110" s="1044">
        <f t="shared" si="79"/>
        <v>20.057271033209989</v>
      </c>
      <c r="AW110" s="1045">
        <f t="shared" si="80"/>
        <v>0</v>
      </c>
      <c r="AX110" s="1044">
        <f t="shared" si="44"/>
        <v>268.91311970927978</v>
      </c>
      <c r="AY110" s="1044">
        <f t="shared" si="49"/>
        <v>15.388386269742757</v>
      </c>
      <c r="AZ110" s="1046">
        <f t="shared" si="47"/>
        <v>10.258924179828504</v>
      </c>
      <c r="BA110" s="4"/>
      <c r="BB110" s="1055">
        <f t="shared" si="81"/>
        <v>232.9924234651935</v>
      </c>
      <c r="BC110" s="1056">
        <f t="shared" si="82"/>
        <v>125.11490846923463</v>
      </c>
      <c r="BD110" s="1082">
        <f t="shared" si="90"/>
        <v>10.258924179828504</v>
      </c>
      <c r="BE110" s="1056">
        <f t="shared" si="54"/>
        <v>368.36625611425666</v>
      </c>
      <c r="BF110" s="167">
        <v>0</v>
      </c>
      <c r="BG110" s="1075">
        <f t="shared" si="83"/>
        <v>368.36625611425666</v>
      </c>
      <c r="BI110" s="1055">
        <f t="shared" si="84"/>
        <v>232.9924234651935</v>
      </c>
      <c r="BJ110" s="1056">
        <f t="shared" si="85"/>
        <v>125.11490846923463</v>
      </c>
      <c r="BK110" s="1082">
        <f t="shared" si="86"/>
        <v>10.258924179828504</v>
      </c>
      <c r="BL110" s="1056">
        <f t="shared" si="55"/>
        <v>368.36625611425666</v>
      </c>
      <c r="BM110" s="167">
        <v>0</v>
      </c>
      <c r="BN110" s="1075">
        <f t="shared" si="87"/>
        <v>368.36625611425666</v>
      </c>
    </row>
    <row r="111" spans="1:66">
      <c r="A111" s="927">
        <f>'Input data'!A141</f>
        <v>2041</v>
      </c>
      <c r="B111" s="824">
        <f>'Input data'!B141</f>
        <v>71.818612994947316</v>
      </c>
      <c r="C111" s="824">
        <f>'Recycling - Case 2'!AK121/B111</f>
        <v>272.36080273005246</v>
      </c>
      <c r="D111" s="825">
        <f>'Recycling - Case 2'!AM121</f>
        <v>0.11394380208981811</v>
      </c>
      <c r="E111" s="826">
        <f>'Recycling - Case 2'!BE121</f>
        <v>0.21795878367338772</v>
      </c>
      <c r="F111" s="826">
        <f>'Recycling - Case 2'!BF121</f>
        <v>0.27643070352921606</v>
      </c>
      <c r="G111" s="826">
        <f>'Recycling - Case 2'!BG121</f>
        <v>5.3839869953268379E-2</v>
      </c>
      <c r="H111" s="826">
        <f>'Recycling - Case 2'!BH121</f>
        <v>0</v>
      </c>
      <c r="I111" s="826">
        <f>'Recycling - Case 2'!BI121</f>
        <v>0</v>
      </c>
      <c r="J111" s="826">
        <f>'Recycling - Case 2'!BJ121</f>
        <v>0</v>
      </c>
      <c r="K111" s="826">
        <f>'Recycling - Case 2'!BK121</f>
        <v>0.45177064284412777</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832">
        <f t="shared" si="57"/>
        <v>122.04487068935072</v>
      </c>
      <c r="R111" s="832">
        <f t="shared" si="58"/>
        <v>122.04487068935072</v>
      </c>
      <c r="S111" s="835">
        <f t="shared" si="59"/>
        <v>0</v>
      </c>
      <c r="T111" s="832">
        <f t="shared" si="60"/>
        <v>6722.0333680345993</v>
      </c>
      <c r="U111" s="832">
        <f t="shared" si="61"/>
        <v>338.38864632803831</v>
      </c>
      <c r="V111" s="839">
        <f t="shared" si="62"/>
        <v>225.59243088535888</v>
      </c>
      <c r="W111" s="4"/>
      <c r="X111" s="852">
        <f>'Recycling - Case 2'!AM161</f>
        <v>385.39906825692015</v>
      </c>
      <c r="Y111" s="853">
        <f>Parameters!S246</f>
        <v>0.71500000000000008</v>
      </c>
      <c r="Z111" s="853">
        <f t="shared" si="63"/>
        <v>0.4</v>
      </c>
      <c r="AA111" s="854">
        <f t="shared" si="64"/>
        <v>55.112066760739587</v>
      </c>
      <c r="AB111" s="854">
        <f t="shared" si="65"/>
        <v>55.112066760739587</v>
      </c>
      <c r="AC111" s="855">
        <f t="shared" si="66"/>
        <v>0</v>
      </c>
      <c r="AD111" s="854">
        <f t="shared" si="67"/>
        <v>3578.0002528194891</v>
      </c>
      <c r="AE111" s="854">
        <f t="shared" si="68"/>
        <v>180.62233970937461</v>
      </c>
      <c r="AF111" s="856">
        <f t="shared" si="69"/>
        <v>120.41489313958307</v>
      </c>
      <c r="AG111" s="4"/>
      <c r="AH111" s="852">
        <f>'Recycling - Case 2'!AM201</f>
        <v>385.39906825692015</v>
      </c>
      <c r="AI111" s="853">
        <f>Parameters!S246</f>
        <v>0.71500000000000008</v>
      </c>
      <c r="AJ111" s="853">
        <f t="shared" si="70"/>
        <v>0.4</v>
      </c>
      <c r="AK111" s="854">
        <f t="shared" si="71"/>
        <v>55.112066760739587</v>
      </c>
      <c r="AL111" s="854">
        <f t="shared" si="72"/>
        <v>55.112066760739587</v>
      </c>
      <c r="AM111" s="855">
        <f t="shared" si="73"/>
        <v>0</v>
      </c>
      <c r="AN111" s="854">
        <f t="shared" si="74"/>
        <v>3578.0002528194891</v>
      </c>
      <c r="AO111" s="854">
        <f t="shared" si="75"/>
        <v>180.62233970937461</v>
      </c>
      <c r="AP111" s="856">
        <f t="shared" si="76"/>
        <v>120.41489313958307</v>
      </c>
      <c r="AQ111" s="4"/>
      <c r="AR111" s="1042">
        <f>'Recycling - Case 2'!G121</f>
        <v>807.27381319745268</v>
      </c>
      <c r="AS111" s="1043">
        <v>1</v>
      </c>
      <c r="AT111" s="1043">
        <f t="shared" si="77"/>
        <v>0.05</v>
      </c>
      <c r="AU111" s="1044">
        <f t="shared" si="78"/>
        <v>20.181845329936319</v>
      </c>
      <c r="AV111" s="1044">
        <f t="shared" si="79"/>
        <v>20.181845329936319</v>
      </c>
      <c r="AW111" s="1045">
        <f t="shared" si="80"/>
        <v>0</v>
      </c>
      <c r="AX111" s="1044">
        <f t="shared" si="44"/>
        <v>273.43468408763141</v>
      </c>
      <c r="AY111" s="1044">
        <f t="shared" si="49"/>
        <v>15.660280951584667</v>
      </c>
      <c r="AZ111" s="1046">
        <f t="shared" si="47"/>
        <v>10.440187301056445</v>
      </c>
      <c r="BA111" s="4"/>
      <c r="BB111" s="1055">
        <f t="shared" si="81"/>
        <v>225.59243088535888</v>
      </c>
      <c r="BC111" s="1056">
        <f t="shared" si="82"/>
        <v>120.41489313958307</v>
      </c>
      <c r="BD111" s="1082">
        <f t="shared" si="90"/>
        <v>10.440187301056445</v>
      </c>
      <c r="BE111" s="1056">
        <f t="shared" si="54"/>
        <v>356.44751132599839</v>
      </c>
      <c r="BF111" s="167">
        <v>0</v>
      </c>
      <c r="BG111" s="1075">
        <f t="shared" si="83"/>
        <v>356.44751132599839</v>
      </c>
      <c r="BI111" s="1055">
        <f t="shared" si="84"/>
        <v>225.59243088535888</v>
      </c>
      <c r="BJ111" s="1056">
        <f t="shared" si="85"/>
        <v>120.41489313958307</v>
      </c>
      <c r="BK111" s="1082">
        <f t="shared" si="86"/>
        <v>10.440187301056445</v>
      </c>
      <c r="BL111" s="1056">
        <f t="shared" si="55"/>
        <v>356.44751132599839</v>
      </c>
      <c r="BM111" s="167">
        <v>0</v>
      </c>
      <c r="BN111" s="1075">
        <f t="shared" si="87"/>
        <v>356.44751132599839</v>
      </c>
    </row>
    <row r="112" spans="1:66">
      <c r="A112" s="927">
        <f>'Input data'!A142</f>
        <v>2042</v>
      </c>
      <c r="B112" s="824">
        <f>'Input data'!B142</f>
        <v>72.264673338395411</v>
      </c>
      <c r="C112" s="824">
        <f>'Recycling - Case 2'!AK122/B112</f>
        <v>271.51712367627835</v>
      </c>
      <c r="D112" s="825">
        <f>'Recycling - Case 2'!AM122</f>
        <v>0.11359234306754344</v>
      </c>
      <c r="E112" s="826">
        <f>'Recycling - Case 2'!BE122</f>
        <v>0.21839925921131742</v>
      </c>
      <c r="F112" s="826">
        <f>'Recycling - Case 2'!BF122</f>
        <v>0.27698934567607153</v>
      </c>
      <c r="G112" s="826">
        <f>'Recycling - Case 2'!BG122</f>
        <v>5.3733479036039984E-2</v>
      </c>
      <c r="H112" s="826">
        <f>'Recycling - Case 2'!BH122</f>
        <v>0</v>
      </c>
      <c r="I112" s="826">
        <f>'Recycling - Case 2'!BI122</f>
        <v>0</v>
      </c>
      <c r="J112" s="826">
        <f>'Recycling - Case 2'!BJ122</f>
        <v>0</v>
      </c>
      <c r="K112" s="826">
        <f>'Recycling - Case 2'!BK122</f>
        <v>0.45087791607657107</v>
      </c>
      <c r="L112" s="827">
        <f t="shared" si="89"/>
        <v>1</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832">
        <f t="shared" si="57"/>
        <v>122.19558635247117</v>
      </c>
      <c r="R112" s="832">
        <f t="shared" si="58"/>
        <v>122.19558635247117</v>
      </c>
      <c r="S112" s="835">
        <f t="shared" si="59"/>
        <v>0</v>
      </c>
      <c r="T112" s="832">
        <f t="shared" si="60"/>
        <v>6516.391518502619</v>
      </c>
      <c r="U112" s="832">
        <f t="shared" si="61"/>
        <v>327.83743588445105</v>
      </c>
      <c r="V112" s="839">
        <f t="shared" si="62"/>
        <v>218.55829058963403</v>
      </c>
      <c r="W112" s="4"/>
      <c r="X112" s="852">
        <f>'Recycling - Case 2'!AM162</f>
        <v>470.14919021642555</v>
      </c>
      <c r="Y112" s="853">
        <f>Parameters!S247</f>
        <v>0.71500000000000008</v>
      </c>
      <c r="Z112" s="853">
        <f t="shared" si="63"/>
        <v>0.4</v>
      </c>
      <c r="AA112" s="854">
        <f t="shared" si="64"/>
        <v>67.231334200948865</v>
      </c>
      <c r="AB112" s="854">
        <f t="shared" si="65"/>
        <v>67.231334200948865</v>
      </c>
      <c r="AC112" s="855">
        <f t="shared" si="66"/>
        <v>0</v>
      </c>
      <c r="AD112" s="854">
        <f t="shared" si="67"/>
        <v>3470.7304555538408</v>
      </c>
      <c r="AE112" s="854">
        <f t="shared" si="68"/>
        <v>174.50113146659723</v>
      </c>
      <c r="AF112" s="856">
        <f t="shared" si="69"/>
        <v>116.33408764439815</v>
      </c>
      <c r="AG112" s="4"/>
      <c r="AH112" s="852">
        <f>'Recycling - Case 2'!AM202</f>
        <v>470.14919021642555</v>
      </c>
      <c r="AI112" s="853">
        <f>Parameters!S247</f>
        <v>0.71500000000000008</v>
      </c>
      <c r="AJ112" s="853">
        <f t="shared" si="70"/>
        <v>0.4</v>
      </c>
      <c r="AK112" s="854">
        <f t="shared" si="71"/>
        <v>67.231334200948865</v>
      </c>
      <c r="AL112" s="854">
        <f t="shared" si="72"/>
        <v>67.231334200948865</v>
      </c>
      <c r="AM112" s="855">
        <f t="shared" si="73"/>
        <v>0</v>
      </c>
      <c r="AN112" s="854">
        <f t="shared" si="74"/>
        <v>3470.7304555538408</v>
      </c>
      <c r="AO112" s="854">
        <f t="shared" si="75"/>
        <v>174.50113146659723</v>
      </c>
      <c r="AP112" s="856">
        <f t="shared" si="76"/>
        <v>116.33408764439815</v>
      </c>
      <c r="AQ112" s="4"/>
      <c r="AR112" s="1042">
        <f>'Recycling - Case 2'!G122</f>
        <v>812.28773395357814</v>
      </c>
      <c r="AS112" s="1043">
        <v>1</v>
      </c>
      <c r="AT112" s="1043">
        <f t="shared" si="77"/>
        <v>0.05</v>
      </c>
      <c r="AU112" s="1044">
        <f t="shared" si="78"/>
        <v>20.307193348839455</v>
      </c>
      <c r="AV112" s="1044">
        <f t="shared" si="79"/>
        <v>20.307193348839455</v>
      </c>
      <c r="AW112" s="1045">
        <f t="shared" si="80"/>
        <v>0</v>
      </c>
      <c r="AX112" s="1044">
        <f t="shared" si="44"/>
        <v>277.81828107438406</v>
      </c>
      <c r="AY112" s="1044">
        <f t="shared" si="49"/>
        <v>15.923596362086821</v>
      </c>
      <c r="AZ112" s="1046">
        <f t="shared" si="47"/>
        <v>10.615730908057881</v>
      </c>
      <c r="BA112" s="4"/>
      <c r="BB112" s="1055">
        <f t="shared" si="81"/>
        <v>218.55829058963403</v>
      </c>
      <c r="BC112" s="1056">
        <f t="shared" si="82"/>
        <v>116.33408764439815</v>
      </c>
      <c r="BD112" s="1082">
        <f t="shared" si="90"/>
        <v>10.615730908057881</v>
      </c>
      <c r="BE112" s="1056">
        <f t="shared" si="54"/>
        <v>345.50810914209006</v>
      </c>
      <c r="BF112" s="167">
        <v>0</v>
      </c>
      <c r="BG112" s="1075">
        <f t="shared" si="83"/>
        <v>345.50810914209006</v>
      </c>
      <c r="BI112" s="1055">
        <f t="shared" si="84"/>
        <v>218.55829058963403</v>
      </c>
      <c r="BJ112" s="1056">
        <f t="shared" si="85"/>
        <v>116.33408764439815</v>
      </c>
      <c r="BK112" s="1082">
        <f t="shared" si="86"/>
        <v>10.615730908057881</v>
      </c>
      <c r="BL112" s="1056">
        <f t="shared" si="55"/>
        <v>345.50810914209006</v>
      </c>
      <c r="BM112" s="167">
        <v>0</v>
      </c>
      <c r="BN112" s="1075">
        <f t="shared" si="87"/>
        <v>345.50810914209006</v>
      </c>
    </row>
    <row r="113" spans="1:66">
      <c r="A113" s="927">
        <f>'Input data'!A143</f>
        <v>2043</v>
      </c>
      <c r="B113" s="824">
        <f>'Input data'!B143</f>
        <v>72.713504131197794</v>
      </c>
      <c r="C113" s="824">
        <f>'Recycling - Case 2'!AK123/B113</f>
        <v>270.67903850077238</v>
      </c>
      <c r="D113" s="825">
        <f>'Recycling - Case 2'!AM123</f>
        <v>0.11324072120840105</v>
      </c>
      <c r="E113" s="826">
        <f>'Recycling - Case 2'!BE123</f>
        <v>0.21883529452492334</v>
      </c>
      <c r="F113" s="826">
        <f>'Recycling - Case 2'!BF123</f>
        <v>0.27754235641724123</v>
      </c>
      <c r="G113" s="826">
        <f>'Recycling - Case 2'!BG123</f>
        <v>5.3628160595028361E-2</v>
      </c>
      <c r="H113" s="826">
        <f>'Recycling - Case 2'!BH123</f>
        <v>0</v>
      </c>
      <c r="I113" s="826">
        <f>'Recycling - Case 2'!BI123</f>
        <v>0</v>
      </c>
      <c r="J113" s="826">
        <f>'Recycling - Case 2'!BJ123</f>
        <v>0</v>
      </c>
      <c r="K113" s="826">
        <f>'Recycling - Case 2'!BK123</f>
        <v>0.44999418846280725</v>
      </c>
      <c r="L113" s="827">
        <f t="shared" si="89"/>
        <v>1.0000000000000002</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2'!AM163</f>
        <v>555.90056218314351</v>
      </c>
      <c r="Y113" s="853">
        <f>Parameters!S248</f>
        <v>0.71500000000000008</v>
      </c>
      <c r="Z113" s="853">
        <f t="shared" si="63"/>
        <v>0.4</v>
      </c>
      <c r="AA113" s="854">
        <f t="shared" si="64"/>
        <v>79.493780392189535</v>
      </c>
      <c r="AB113" s="854">
        <f t="shared" si="65"/>
        <v>79.493780392189535</v>
      </c>
      <c r="AC113" s="855">
        <f t="shared" si="66"/>
        <v>0</v>
      </c>
      <c r="AD113" s="854">
        <f t="shared" si="67"/>
        <v>3380.9547142257702</v>
      </c>
      <c r="AE113" s="854">
        <f t="shared" si="68"/>
        <v>169.26952172025983</v>
      </c>
      <c r="AF113" s="856">
        <f t="shared" si="69"/>
        <v>112.84634781350655</v>
      </c>
      <c r="AG113" s="4"/>
      <c r="AH113" s="852">
        <f>'Recycling - Case 2'!AM203</f>
        <v>555.90056218314351</v>
      </c>
      <c r="AI113" s="853">
        <f>Parameters!S248</f>
        <v>0.71500000000000008</v>
      </c>
      <c r="AJ113" s="853">
        <f t="shared" si="70"/>
        <v>0.4</v>
      </c>
      <c r="AK113" s="854">
        <f t="shared" si="71"/>
        <v>79.493780392189535</v>
      </c>
      <c r="AL113" s="854">
        <f t="shared" si="72"/>
        <v>79.493780392189535</v>
      </c>
      <c r="AM113" s="855">
        <f t="shared" si="73"/>
        <v>0</v>
      </c>
      <c r="AN113" s="854">
        <f t="shared" si="74"/>
        <v>3380.9547142257702</v>
      </c>
      <c r="AO113" s="854">
        <f t="shared" si="75"/>
        <v>169.26952172025983</v>
      </c>
      <c r="AP113" s="856">
        <f t="shared" si="76"/>
        <v>112.84634781350655</v>
      </c>
      <c r="AQ113" s="4"/>
      <c r="AR113" s="1042">
        <f>'Recycling - Case 2'!G123</f>
        <v>817.33279581813269</v>
      </c>
      <c r="AS113" s="1043">
        <v>1</v>
      </c>
      <c r="AT113" s="1043">
        <f t="shared" si="77"/>
        <v>0.05</v>
      </c>
      <c r="AU113" s="1044">
        <f t="shared" si="78"/>
        <v>20.43331989545332</v>
      </c>
      <c r="AV113" s="1044">
        <f t="shared" si="79"/>
        <v>20.43331989545332</v>
      </c>
      <c r="AW113" s="1045">
        <f t="shared" si="80"/>
        <v>0</v>
      </c>
      <c r="AX113" s="1044">
        <f t="shared" si="44"/>
        <v>282.07272379264833</v>
      </c>
      <c r="AY113" s="1044">
        <f t="shared" si="49"/>
        <v>16.178877177189044</v>
      </c>
      <c r="AZ113" s="1046">
        <f t="shared" si="47"/>
        <v>10.785918118126029</v>
      </c>
      <c r="BA113" s="4"/>
      <c r="BB113" s="1055">
        <f t="shared" si="81"/>
        <v>211.87210969069255</v>
      </c>
      <c r="BC113" s="1056">
        <f t="shared" si="82"/>
        <v>112.84634781350655</v>
      </c>
      <c r="BD113" s="1082">
        <f t="shared" si="90"/>
        <v>10.785918118126029</v>
      </c>
      <c r="BE113" s="1056">
        <f t="shared" si="54"/>
        <v>335.50437562232514</v>
      </c>
      <c r="BF113" s="167">
        <v>0</v>
      </c>
      <c r="BG113" s="1075">
        <f t="shared" si="83"/>
        <v>335.50437562232514</v>
      </c>
      <c r="BI113" s="1055">
        <f t="shared" si="84"/>
        <v>211.87210969069255</v>
      </c>
      <c r="BJ113" s="1056">
        <f t="shared" si="85"/>
        <v>112.84634781350655</v>
      </c>
      <c r="BK113" s="1082">
        <f t="shared" si="86"/>
        <v>10.785918118126029</v>
      </c>
      <c r="BL113" s="1056">
        <f t="shared" si="55"/>
        <v>335.50437562232514</v>
      </c>
      <c r="BM113" s="167">
        <v>0</v>
      </c>
      <c r="BN113" s="1075">
        <f t="shared" si="87"/>
        <v>335.50437562232514</v>
      </c>
    </row>
    <row r="114" spans="1:66">
      <c r="A114" s="927">
        <f>'Input data'!A144</f>
        <v>2044</v>
      </c>
      <c r="B114" s="824">
        <f>'Input data'!B144</f>
        <v>73.165122580420132</v>
      </c>
      <c r="C114" s="824">
        <f>'Recycling - Case 2'!AK124/B114</f>
        <v>269.84650568336718</v>
      </c>
      <c r="D114" s="825">
        <f>'Recycling - Case 2'!AM124</f>
        <v>0.11288894718501212</v>
      </c>
      <c r="E114" s="826">
        <f>'Recycling - Case 2'!BE124</f>
        <v>0.21926694818441095</v>
      </c>
      <c r="F114" s="826">
        <f>'Recycling - Case 2'!BF124</f>
        <v>0.27808981003559108</v>
      </c>
      <c r="G114" s="826">
        <f>'Recycling - Case 2'!BG124</f>
        <v>5.3523900483391409E-2</v>
      </c>
      <c r="H114" s="826">
        <f>'Recycling - Case 2'!BH124</f>
        <v>0</v>
      </c>
      <c r="I114" s="826">
        <f>'Recycling - Case 2'!BI124</f>
        <v>0</v>
      </c>
      <c r="J114" s="826">
        <f>'Recycling - Case 2'!BJ124</f>
        <v>0</v>
      </c>
      <c r="K114" s="826">
        <f>'Recycling - Case 2'!BK124</f>
        <v>0.44911934129660647</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2'!AM164</f>
        <v>642.65909047889772</v>
      </c>
      <c r="Y114" s="853">
        <f>Parameters!S249</f>
        <v>0.71500000000000008</v>
      </c>
      <c r="Z114" s="853">
        <f t="shared" si="63"/>
        <v>0.4</v>
      </c>
      <c r="AA114" s="854">
        <f t="shared" si="64"/>
        <v>91.900249938482389</v>
      </c>
      <c r="AB114" s="854">
        <f t="shared" si="65"/>
        <v>91.900249938482389</v>
      </c>
      <c r="AC114" s="855">
        <f t="shared" si="66"/>
        <v>0</v>
      </c>
      <c r="AD114" s="854">
        <f t="shared" si="67"/>
        <v>3307.963857014438</v>
      </c>
      <c r="AE114" s="854">
        <f t="shared" si="68"/>
        <v>164.89110714981479</v>
      </c>
      <c r="AF114" s="856">
        <f t="shared" si="69"/>
        <v>109.92740476654319</v>
      </c>
      <c r="AG114" s="4"/>
      <c r="AH114" s="852">
        <f>'Recycling - Case 2'!AM204</f>
        <v>642.65909047889772</v>
      </c>
      <c r="AI114" s="853">
        <f>Parameters!S249</f>
        <v>0.71500000000000008</v>
      </c>
      <c r="AJ114" s="853">
        <f t="shared" si="70"/>
        <v>0.4</v>
      </c>
      <c r="AK114" s="854">
        <f t="shared" si="71"/>
        <v>91.900249938482389</v>
      </c>
      <c r="AL114" s="854">
        <f t="shared" si="72"/>
        <v>91.900249938482389</v>
      </c>
      <c r="AM114" s="855">
        <f t="shared" si="73"/>
        <v>0</v>
      </c>
      <c r="AN114" s="854">
        <f t="shared" si="74"/>
        <v>3307.963857014438</v>
      </c>
      <c r="AO114" s="854">
        <f t="shared" si="75"/>
        <v>164.89110714981479</v>
      </c>
      <c r="AP114" s="856">
        <f t="shared" si="76"/>
        <v>109.92740476654319</v>
      </c>
      <c r="AQ114" s="4"/>
      <c r="AR114" s="1042">
        <f>'Recycling - Case 2'!G124</f>
        <v>822.40919220634601</v>
      </c>
      <c r="AS114" s="1043">
        <v>1</v>
      </c>
      <c r="AT114" s="1043">
        <f t="shared" si="77"/>
        <v>0.05</v>
      </c>
      <c r="AU114" s="1044">
        <f t="shared" si="78"/>
        <v>20.560229805158652</v>
      </c>
      <c r="AV114" s="1044">
        <f t="shared" si="79"/>
        <v>20.560229805158652</v>
      </c>
      <c r="AW114" s="1045">
        <f t="shared" si="80"/>
        <v>0</v>
      </c>
      <c r="AX114" s="1044">
        <f t="shared" ref="AX114:AX120" si="91">AV114+(AX113*$E$8)</f>
        <v>286.20631696458071</v>
      </c>
      <c r="AY114" s="1044">
        <f t="shared" si="49"/>
        <v>16.426636633226259</v>
      </c>
      <c r="AZ114" s="1046">
        <f t="shared" si="47"/>
        <v>10.951091088817506</v>
      </c>
      <c r="BA114" s="4"/>
      <c r="BB114" s="1055">
        <f t="shared" si="81"/>
        <v>205.51686861064377</v>
      </c>
      <c r="BC114" s="1056">
        <f t="shared" si="82"/>
        <v>109.92740476654319</v>
      </c>
      <c r="BD114" s="1082">
        <f t="shared" si="90"/>
        <v>10.951091088817506</v>
      </c>
      <c r="BE114" s="1056">
        <f t="shared" si="54"/>
        <v>326.39536446600448</v>
      </c>
      <c r="BF114" s="167">
        <v>0</v>
      </c>
      <c r="BG114" s="1075">
        <f t="shared" si="83"/>
        <v>326.39536446600448</v>
      </c>
      <c r="BI114" s="1055">
        <f t="shared" si="84"/>
        <v>205.51686861064377</v>
      </c>
      <c r="BJ114" s="1056">
        <f t="shared" si="85"/>
        <v>109.92740476654319</v>
      </c>
      <c r="BK114" s="1082">
        <f t="shared" si="86"/>
        <v>10.951091088817506</v>
      </c>
      <c r="BL114" s="1056">
        <f t="shared" si="55"/>
        <v>326.39536446600448</v>
      </c>
      <c r="BM114" s="167">
        <v>0</v>
      </c>
      <c r="BN114" s="1075">
        <f t="shared" si="87"/>
        <v>326.39536446600448</v>
      </c>
    </row>
    <row r="115" spans="1:66">
      <c r="A115" s="927">
        <f>'Input data'!A145</f>
        <v>2045</v>
      </c>
      <c r="B115" s="824">
        <f>'Input data'!B145</f>
        <v>73.619545999999971</v>
      </c>
      <c r="C115" s="824">
        <f>'Recycling - Case 2'!AK125/B115</f>
        <v>269.0194841045323</v>
      </c>
      <c r="D115" s="825">
        <f>'Recycling - Case 2'!AM125</f>
        <v>0.11253703160414483</v>
      </c>
      <c r="E115" s="826">
        <f>'Recycling - Case 2'!BE125</f>
        <v>0.21969427775505454</v>
      </c>
      <c r="F115" s="826">
        <f>'Recycling - Case 2'!BF125</f>
        <v>0.27863177953946222</v>
      </c>
      <c r="G115" s="826">
        <f>'Recycling - Case 2'!BG125</f>
        <v>5.3420684797014596E-2</v>
      </c>
      <c r="H115" s="826">
        <f>'Recycling - Case 2'!BH125</f>
        <v>0</v>
      </c>
      <c r="I115" s="826">
        <f>'Recycling - Case 2'!BI125</f>
        <v>0</v>
      </c>
      <c r="J115" s="826">
        <f>'Recycling - Case 2'!BJ125</f>
        <v>0</v>
      </c>
      <c r="K115" s="826">
        <f>'Recycling - Case 2'!BK125</f>
        <v>0.44825325790846843</v>
      </c>
      <c r="L115" s="827">
        <f t="shared" si="89"/>
        <v>0.99999999999999978</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2'!AM165</f>
        <v>730.40510507461875</v>
      </c>
      <c r="Y115" s="853">
        <f>Parameters!S250</f>
        <v>0.71500000000000008</v>
      </c>
      <c r="Z115" s="853">
        <f t="shared" si="63"/>
        <v>0.4</v>
      </c>
      <c r="AA115" s="854">
        <f t="shared" si="64"/>
        <v>104.44793002567049</v>
      </c>
      <c r="AB115" s="854">
        <f t="shared" si="65"/>
        <v>104.44793002567049</v>
      </c>
      <c r="AC115" s="855">
        <f t="shared" si="66"/>
        <v>0</v>
      </c>
      <c r="AD115" s="854">
        <f t="shared" si="67"/>
        <v>3251.0804860026765</v>
      </c>
      <c r="AE115" s="854">
        <f t="shared" si="68"/>
        <v>161.3313010374319</v>
      </c>
      <c r="AF115" s="856">
        <f t="shared" si="69"/>
        <v>107.55420069162126</v>
      </c>
      <c r="AG115" s="4"/>
      <c r="AH115" s="852">
        <f>'Recycling - Case 2'!AM205</f>
        <v>730.40510507461875</v>
      </c>
      <c r="AI115" s="853">
        <f>Parameters!S250</f>
        <v>0.71500000000000008</v>
      </c>
      <c r="AJ115" s="853">
        <f t="shared" si="70"/>
        <v>0.4</v>
      </c>
      <c r="AK115" s="854">
        <f t="shared" si="71"/>
        <v>104.44793002567049</v>
      </c>
      <c r="AL115" s="854">
        <f t="shared" si="72"/>
        <v>104.44793002567049</v>
      </c>
      <c r="AM115" s="855">
        <f t="shared" si="73"/>
        <v>0</v>
      </c>
      <c r="AN115" s="854">
        <f t="shared" si="74"/>
        <v>3251.0804860026765</v>
      </c>
      <c r="AO115" s="854">
        <f t="shared" si="75"/>
        <v>161.3313010374319</v>
      </c>
      <c r="AP115" s="856">
        <f t="shared" si="76"/>
        <v>107.55420069162126</v>
      </c>
      <c r="AQ115" s="4"/>
      <c r="AR115" s="1042">
        <f>'Recycling - Case 2'!G125</f>
        <v>827.51711773473585</v>
      </c>
      <c r="AS115" s="1043">
        <v>1</v>
      </c>
      <c r="AT115" s="1043">
        <f t="shared" si="77"/>
        <v>0.05</v>
      </c>
      <c r="AU115" s="1044">
        <f t="shared" si="78"/>
        <v>20.687927943368397</v>
      </c>
      <c r="AV115" s="1044">
        <f t="shared" si="79"/>
        <v>20.687927943368397</v>
      </c>
      <c r="AW115" s="1045">
        <f t="shared" si="80"/>
        <v>0</v>
      </c>
      <c r="AX115" s="1044">
        <f t="shared" si="91"/>
        <v>290.22688654838237</v>
      </c>
      <c r="AY115" s="1044">
        <f t="shared" si="49"/>
        <v>16.667358359566705</v>
      </c>
      <c r="AZ115" s="1046">
        <f t="shared" si="47"/>
        <v>11.111572239711137</v>
      </c>
      <c r="BA115" s="4"/>
      <c r="BB115" s="1055">
        <f t="shared" si="81"/>
        <v>199.47637847780393</v>
      </c>
      <c r="BC115" s="1056">
        <f t="shared" si="82"/>
        <v>107.55420069162126</v>
      </c>
      <c r="BD115" s="1082">
        <f t="shared" si="90"/>
        <v>11.111572239711137</v>
      </c>
      <c r="BE115" s="1056">
        <f t="shared" si="54"/>
        <v>318.14215140913632</v>
      </c>
      <c r="BF115" s="167">
        <v>0</v>
      </c>
      <c r="BG115" s="1075">
        <f t="shared" si="83"/>
        <v>318.14215140913632</v>
      </c>
      <c r="BI115" s="1055">
        <f t="shared" si="84"/>
        <v>199.47637847780393</v>
      </c>
      <c r="BJ115" s="1056">
        <f t="shared" si="85"/>
        <v>107.55420069162126</v>
      </c>
      <c r="BK115" s="1082">
        <f t="shared" si="86"/>
        <v>11.111572239711137</v>
      </c>
      <c r="BL115" s="1056">
        <f t="shared" si="55"/>
        <v>318.14215140913632</v>
      </c>
      <c r="BM115" s="167">
        <v>0</v>
      </c>
      <c r="BN115" s="1075">
        <f t="shared" si="87"/>
        <v>318.14215140913632</v>
      </c>
    </row>
    <row r="116" spans="1:66">
      <c r="A116" s="927">
        <f>'Input data'!A146</f>
        <v>2046</v>
      </c>
      <c r="B116" s="824">
        <f>'Input data'!B146</f>
        <v>73.995362001779526</v>
      </c>
      <c r="C116" s="824">
        <f>'Recycling - Case 2'!AK126/B116</f>
        <v>268.34347153368111</v>
      </c>
      <c r="D116" s="825">
        <f>'Recycling - Case 2'!AM126</f>
        <v>0.11224752992749164</v>
      </c>
      <c r="E116" s="826">
        <f>'Recycling - Case 2'!BE126</f>
        <v>0.22004249838631784</v>
      </c>
      <c r="F116" s="826">
        <f>'Recycling - Case 2'!BF126</f>
        <v>0.27907341750633474</v>
      </c>
      <c r="G116" s="826">
        <f>'Recycling - Case 2'!BG126</f>
        <v>5.3336576806518536E-2</v>
      </c>
      <c r="H116" s="826">
        <f>'Recycling - Case 2'!BH126</f>
        <v>0</v>
      </c>
      <c r="I116" s="826">
        <f>'Recycling - Case 2'!BI126</f>
        <v>0</v>
      </c>
      <c r="J116" s="826">
        <f>'Recycling - Case 2'!BJ126</f>
        <v>0</v>
      </c>
      <c r="K116" s="826">
        <f>'Recycling - Case 2'!BK126</f>
        <v>0.44754750730082893</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2'!AM166</f>
        <v>742.57510738224892</v>
      </c>
      <c r="Y116" s="853">
        <f>Parameters!S251</f>
        <v>0.71500000000000008</v>
      </c>
      <c r="Z116" s="853">
        <f t="shared" si="63"/>
        <v>0.4</v>
      </c>
      <c r="AA116" s="854">
        <f t="shared" si="64"/>
        <v>106.18824035566161</v>
      </c>
      <c r="AB116" s="854">
        <f t="shared" si="65"/>
        <v>106.18824035566161</v>
      </c>
      <c r="AC116" s="855">
        <f t="shared" si="66"/>
        <v>0</v>
      </c>
      <c r="AD116" s="854">
        <f t="shared" si="67"/>
        <v>3198.7116600614891</v>
      </c>
      <c r="AE116" s="854">
        <f t="shared" si="68"/>
        <v>158.55706629684892</v>
      </c>
      <c r="AF116" s="856">
        <f t="shared" si="69"/>
        <v>105.70471086456594</v>
      </c>
      <c r="AG116" s="4"/>
      <c r="AH116" s="852">
        <f>'Recycling - Case 2'!AM206</f>
        <v>742.57510738224892</v>
      </c>
      <c r="AI116" s="853">
        <f>Parameters!S251</f>
        <v>0.71500000000000008</v>
      </c>
      <c r="AJ116" s="853">
        <f t="shared" si="70"/>
        <v>0.4</v>
      </c>
      <c r="AK116" s="854">
        <f t="shared" si="71"/>
        <v>106.18824035566161</v>
      </c>
      <c r="AL116" s="854">
        <f t="shared" si="72"/>
        <v>106.18824035566161</v>
      </c>
      <c r="AM116" s="855">
        <f t="shared" si="73"/>
        <v>0</v>
      </c>
      <c r="AN116" s="854">
        <f t="shared" si="74"/>
        <v>3198.7116600614891</v>
      </c>
      <c r="AO116" s="854">
        <f t="shared" si="75"/>
        <v>158.55706629684892</v>
      </c>
      <c r="AP116" s="856">
        <f t="shared" si="76"/>
        <v>105.70471086456594</v>
      </c>
      <c r="AQ116" s="4"/>
      <c r="AR116" s="1042">
        <f>'Recycling - Case 2'!G126</f>
        <v>831.74146020203671</v>
      </c>
      <c r="AS116" s="1043">
        <v>1</v>
      </c>
      <c r="AT116" s="1043">
        <f t="shared" si="77"/>
        <v>0.05</v>
      </c>
      <c r="AU116" s="1044">
        <f t="shared" si="78"/>
        <v>20.79353650505092</v>
      </c>
      <c r="AV116" s="1044">
        <f t="shared" si="79"/>
        <v>20.79353650505092</v>
      </c>
      <c r="AW116" s="1045">
        <f t="shared" si="80"/>
        <v>0</v>
      </c>
      <c r="AX116" s="1044">
        <f t="shared" si="91"/>
        <v>294.1189249488969</v>
      </c>
      <c r="AY116" s="1044">
        <f t="shared" si="49"/>
        <v>16.90149810453638</v>
      </c>
      <c r="AZ116" s="1046">
        <f t="shared" si="47"/>
        <v>11.267665403024253</v>
      </c>
      <c r="BA116" s="4"/>
      <c r="BB116" s="1055">
        <f t="shared" si="81"/>
        <v>193.73524060149632</v>
      </c>
      <c r="BC116" s="1056">
        <f t="shared" si="82"/>
        <v>105.70471086456594</v>
      </c>
      <c r="BD116" s="1082">
        <f t="shared" si="90"/>
        <v>11.267665403024253</v>
      </c>
      <c r="BE116" s="1056">
        <f t="shared" si="54"/>
        <v>310.70761686908651</v>
      </c>
      <c r="BF116" s="167">
        <v>0</v>
      </c>
      <c r="BG116" s="1075">
        <f t="shared" si="83"/>
        <v>310.70761686908651</v>
      </c>
      <c r="BI116" s="1055">
        <f t="shared" si="84"/>
        <v>193.73524060149632</v>
      </c>
      <c r="BJ116" s="1056">
        <f t="shared" si="85"/>
        <v>105.70471086456594</v>
      </c>
      <c r="BK116" s="1082">
        <f t="shared" si="86"/>
        <v>11.267665403024253</v>
      </c>
      <c r="BL116" s="1056">
        <f t="shared" si="55"/>
        <v>310.70761686908651</v>
      </c>
      <c r="BM116" s="167">
        <v>0</v>
      </c>
      <c r="BN116" s="1075">
        <f t="shared" si="87"/>
        <v>310.70761686908651</v>
      </c>
    </row>
    <row r="117" spans="1:66">
      <c r="A117" s="927">
        <f>'Input data'!A147</f>
        <v>2047</v>
      </c>
      <c r="B117" s="824">
        <f>'Input data'!B147</f>
        <v>74.373096484110363</v>
      </c>
      <c r="C117" s="824">
        <f>'Recycling - Case 2'!AK127/B117</f>
        <v>267.67113612541198</v>
      </c>
      <c r="D117" s="825">
        <f>'Recycling - Case 2'!AM127</f>
        <v>0.11195794547794445</v>
      </c>
      <c r="E117" s="826">
        <f>'Recycling - Case 2'!BE127</f>
        <v>0.22038786396742607</v>
      </c>
      <c r="F117" s="826">
        <f>'Recycling - Case 2'!BF127</f>
        <v>0.27951143449721488</v>
      </c>
      <c r="G117" s="826">
        <f>'Recycling - Case 2'!BG127</f>
        <v>5.3253158414827681E-2</v>
      </c>
      <c r="H117" s="826">
        <f>'Recycling - Case 2'!BH127</f>
        <v>0</v>
      </c>
      <c r="I117" s="826">
        <f>'Recycling - Case 2'!BI127</f>
        <v>0</v>
      </c>
      <c r="J117" s="826">
        <f>'Recycling - Case 2'!BJ127</f>
        <v>0</v>
      </c>
      <c r="K117" s="826">
        <f>'Recycling - Case 2'!BK127</f>
        <v>0.44684754312053121</v>
      </c>
      <c r="L117" s="827">
        <f t="shared" si="89"/>
        <v>0.99999999999999989</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2'!AM167</f>
        <v>753.52821671618051</v>
      </c>
      <c r="Y117" s="853">
        <f>Parameters!S252</f>
        <v>0.71500000000000008</v>
      </c>
      <c r="Z117" s="853">
        <f t="shared" si="63"/>
        <v>0.4</v>
      </c>
      <c r="AA117" s="854">
        <f t="shared" si="64"/>
        <v>107.75453499041383</v>
      </c>
      <c r="AB117" s="854">
        <f t="shared" si="65"/>
        <v>107.75453499041383</v>
      </c>
      <c r="AC117" s="855">
        <f t="shared" si="66"/>
        <v>0</v>
      </c>
      <c r="AD117" s="854">
        <f t="shared" si="67"/>
        <v>3150.4631865344277</v>
      </c>
      <c r="AE117" s="854">
        <f t="shared" si="68"/>
        <v>156.00300851747525</v>
      </c>
      <c r="AF117" s="856">
        <f t="shared" si="69"/>
        <v>104.00200567831683</v>
      </c>
      <c r="AG117" s="4"/>
      <c r="AH117" s="852">
        <f>'Recycling - Case 2'!AM207</f>
        <v>753.52821671618051</v>
      </c>
      <c r="AI117" s="853">
        <f>Parameters!S252</f>
        <v>0.71500000000000008</v>
      </c>
      <c r="AJ117" s="853">
        <f t="shared" si="70"/>
        <v>0.4</v>
      </c>
      <c r="AK117" s="854">
        <f t="shared" si="71"/>
        <v>107.75453499041383</v>
      </c>
      <c r="AL117" s="854">
        <f t="shared" si="72"/>
        <v>107.75453499041383</v>
      </c>
      <c r="AM117" s="855">
        <f t="shared" si="73"/>
        <v>0</v>
      </c>
      <c r="AN117" s="854">
        <f t="shared" si="74"/>
        <v>3150.4631865344277</v>
      </c>
      <c r="AO117" s="854">
        <f t="shared" si="75"/>
        <v>156.00300851747525</v>
      </c>
      <c r="AP117" s="856">
        <f t="shared" si="76"/>
        <v>104.00200567831683</v>
      </c>
      <c r="AQ117" s="4"/>
      <c r="AR117" s="1042">
        <f>'Recycling - Case 2'!G127</f>
        <v>835.98736726165691</v>
      </c>
      <c r="AS117" s="1043">
        <v>1</v>
      </c>
      <c r="AT117" s="1043">
        <f t="shared" si="77"/>
        <v>0.05</v>
      </c>
      <c r="AU117" s="1044">
        <f t="shared" si="78"/>
        <v>20.899684181541424</v>
      </c>
      <c r="AV117" s="1044">
        <f t="shared" si="79"/>
        <v>20.899684181541424</v>
      </c>
      <c r="AW117" s="1045">
        <f t="shared" si="80"/>
        <v>0</v>
      </c>
      <c r="AX117" s="1044">
        <f t="shared" si="91"/>
        <v>297.89045635433996</v>
      </c>
      <c r="AY117" s="1044">
        <f t="shared" si="49"/>
        <v>17.128152776098357</v>
      </c>
      <c r="AZ117" s="1046">
        <f t="shared" si="47"/>
        <v>11.418768517398904</v>
      </c>
      <c r="BA117" s="4"/>
      <c r="BB117" s="1055">
        <f t="shared" si="81"/>
        <v>188.27797530646615</v>
      </c>
      <c r="BC117" s="1056">
        <f t="shared" si="82"/>
        <v>104.00200567831683</v>
      </c>
      <c r="BD117" s="1082">
        <f t="shared" si="90"/>
        <v>11.418768517398904</v>
      </c>
      <c r="BE117" s="1056">
        <f t="shared" si="54"/>
        <v>303.6987495021819</v>
      </c>
      <c r="BF117" s="167">
        <v>0</v>
      </c>
      <c r="BG117" s="1075">
        <f t="shared" si="83"/>
        <v>303.6987495021819</v>
      </c>
      <c r="BI117" s="1055">
        <f t="shared" si="84"/>
        <v>188.27797530646615</v>
      </c>
      <c r="BJ117" s="1056">
        <f t="shared" si="85"/>
        <v>104.00200567831683</v>
      </c>
      <c r="BK117" s="1082">
        <f t="shared" si="86"/>
        <v>11.418768517398904</v>
      </c>
      <c r="BL117" s="1056">
        <f t="shared" si="55"/>
        <v>303.6987495021819</v>
      </c>
      <c r="BM117" s="167">
        <v>0</v>
      </c>
      <c r="BN117" s="1075">
        <f t="shared" si="87"/>
        <v>303.6987495021819</v>
      </c>
    </row>
    <row r="118" spans="1:66">
      <c r="A118" s="927">
        <f>'Input data'!A148</f>
        <v>2048</v>
      </c>
      <c r="B118" s="824">
        <f>'Input data'!B148</f>
        <v>74.752759240528661</v>
      </c>
      <c r="C118" s="824">
        <f>'Recycling - Case 2'!AK128/B118</f>
        <v>267.00245560366284</v>
      </c>
      <c r="D118" s="825">
        <f>'Recycling - Case 2'!AM128</f>
        <v>0.11166828405608349</v>
      </c>
      <c r="E118" s="826">
        <f>'Recycling - Case 2'!BE128</f>
        <v>0.22073040504531644</v>
      </c>
      <c r="F118" s="826">
        <f>'Recycling - Case 2'!BF128</f>
        <v>0.27994586925388332</v>
      </c>
      <c r="G118" s="826">
        <f>'Recycling - Case 2'!BG128</f>
        <v>5.3170422243742146E-2</v>
      </c>
      <c r="H118" s="826">
        <f>'Recycling - Case 2'!BH128</f>
        <v>0</v>
      </c>
      <c r="I118" s="826">
        <f>'Recycling - Case 2'!BI128</f>
        <v>0</v>
      </c>
      <c r="J118" s="826">
        <f>'Recycling - Case 2'!BJ128</f>
        <v>0</v>
      </c>
      <c r="K118" s="826">
        <f>'Recycling - Case 2'!BK128</f>
        <v>0.44615330345705817</v>
      </c>
      <c r="L118" s="827">
        <f t="shared" si="89"/>
        <v>1</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2'!AM168</f>
        <v>764.47784063761378</v>
      </c>
      <c r="Y118" s="853">
        <f>Parameters!S253</f>
        <v>0.71500000000000008</v>
      </c>
      <c r="Z118" s="853">
        <f t="shared" si="63"/>
        <v>0.4</v>
      </c>
      <c r="AA118" s="854">
        <f t="shared" si="64"/>
        <v>109.32033121117878</v>
      </c>
      <c r="AB118" s="854">
        <f t="shared" si="65"/>
        <v>109.32033121117878</v>
      </c>
      <c r="AC118" s="855">
        <f t="shared" si="66"/>
        <v>0</v>
      </c>
      <c r="AD118" s="854">
        <f t="shared" si="67"/>
        <v>3106.1336150490079</v>
      </c>
      <c r="AE118" s="854">
        <f t="shared" si="68"/>
        <v>153.64990269659842</v>
      </c>
      <c r="AF118" s="856">
        <f t="shared" si="69"/>
        <v>102.43326846439895</v>
      </c>
      <c r="AG118" s="4"/>
      <c r="AH118" s="852">
        <f>'Recycling - Case 2'!AM208</f>
        <v>764.47784063761378</v>
      </c>
      <c r="AI118" s="853">
        <f>Parameters!S253</f>
        <v>0.71500000000000008</v>
      </c>
      <c r="AJ118" s="853">
        <f t="shared" si="70"/>
        <v>0.4</v>
      </c>
      <c r="AK118" s="854">
        <f t="shared" si="71"/>
        <v>109.32033121117878</v>
      </c>
      <c r="AL118" s="854">
        <f t="shared" si="72"/>
        <v>109.32033121117878</v>
      </c>
      <c r="AM118" s="855">
        <f t="shared" si="73"/>
        <v>0</v>
      </c>
      <c r="AN118" s="854">
        <f t="shared" si="74"/>
        <v>3106.1336150490079</v>
      </c>
      <c r="AO118" s="854">
        <f t="shared" si="75"/>
        <v>153.64990269659842</v>
      </c>
      <c r="AP118" s="856">
        <f t="shared" si="76"/>
        <v>102.43326846439895</v>
      </c>
      <c r="AQ118" s="4"/>
      <c r="AR118" s="1042">
        <f>'Recycling - Case 2'!G128</f>
        <v>840.25494899738908</v>
      </c>
      <c r="AS118" s="1043">
        <v>1</v>
      </c>
      <c r="AT118" s="1043">
        <f t="shared" si="77"/>
        <v>0.05</v>
      </c>
      <c r="AU118" s="1044">
        <f t="shared" si="78"/>
        <v>21.006373724934729</v>
      </c>
      <c r="AV118" s="1044">
        <f t="shared" si="79"/>
        <v>21.006373724934729</v>
      </c>
      <c r="AW118" s="1045">
        <f t="shared" si="80"/>
        <v>0</v>
      </c>
      <c r="AX118" s="1044">
        <f t="shared" si="91"/>
        <v>301.54904041267872</v>
      </c>
      <c r="AY118" s="1044">
        <f t="shared" si="49"/>
        <v>17.347789666595986</v>
      </c>
      <c r="AZ118" s="1046">
        <f t="shared" si="47"/>
        <v>11.565193111063991</v>
      </c>
      <c r="BA118" s="4"/>
      <c r="BB118" s="1055">
        <f t="shared" si="81"/>
        <v>183.09070620088937</v>
      </c>
      <c r="BC118" s="1056">
        <f t="shared" si="82"/>
        <v>102.43326846439895</v>
      </c>
      <c r="BD118" s="1082">
        <f t="shared" si="90"/>
        <v>11.565193111063991</v>
      </c>
      <c r="BE118" s="1056">
        <f t="shared" si="54"/>
        <v>297.08916777635233</v>
      </c>
      <c r="BF118" s="167">
        <v>0</v>
      </c>
      <c r="BG118" s="1075">
        <f t="shared" si="83"/>
        <v>297.08916777635233</v>
      </c>
      <c r="BI118" s="1055">
        <f t="shared" si="84"/>
        <v>183.09070620088937</v>
      </c>
      <c r="BJ118" s="1056">
        <f t="shared" si="85"/>
        <v>102.43326846439895</v>
      </c>
      <c r="BK118" s="1082">
        <f t="shared" si="86"/>
        <v>11.565193111063991</v>
      </c>
      <c r="BL118" s="1056">
        <f t="shared" si="55"/>
        <v>297.08916777635233</v>
      </c>
      <c r="BM118" s="167">
        <v>0</v>
      </c>
      <c r="BN118" s="1075">
        <f t="shared" si="87"/>
        <v>297.08916777635233</v>
      </c>
    </row>
    <row r="119" spans="1:66">
      <c r="A119" s="927">
        <f>'Input data'!A149</f>
        <v>2049</v>
      </c>
      <c r="B119" s="824">
        <f>'Input data'!B149</f>
        <v>75.134360114565098</v>
      </c>
      <c r="C119" s="824">
        <f>'Recycling - Case 2'!AK129/B119</f>
        <v>266.33740786604682</v>
      </c>
      <c r="D119" s="825">
        <f>'Recycling - Case 2'!AM129</f>
        <v>0.11137855143335285</v>
      </c>
      <c r="E119" s="826">
        <f>'Recycling - Case 2'!BE129</f>
        <v>0.22107015174195349</v>
      </c>
      <c r="F119" s="826">
        <f>'Recycling - Case 2'!BF129</f>
        <v>0.28037675997914002</v>
      </c>
      <c r="G119" s="826">
        <f>'Recycling - Case 2'!BG129</f>
        <v>5.3088361017708037E-2</v>
      </c>
      <c r="H119" s="826">
        <f>'Recycling - Case 2'!BH129</f>
        <v>0</v>
      </c>
      <c r="I119" s="826">
        <f>'Recycling - Case 2'!BI129</f>
        <v>0</v>
      </c>
      <c r="J119" s="826">
        <f>'Recycling - Case 2'!BJ129</f>
        <v>0</v>
      </c>
      <c r="K119" s="826">
        <f>'Recycling - Case 2'!BK129</f>
        <v>0.44546472726119851</v>
      </c>
      <c r="L119" s="827">
        <f t="shared" si="89"/>
        <v>1.0000000000000002</v>
      </c>
      <c r="M119" s="4"/>
      <c r="N119" s="838">
        <f t="shared" si="56"/>
        <v>2228.8062963921584</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2'!AM169</f>
        <v>775.23165076363637</v>
      </c>
      <c r="Y119" s="853">
        <f>Parameters!S254</f>
        <v>0.71500000000000008</v>
      </c>
      <c r="Z119" s="853">
        <f t="shared" si="63"/>
        <v>0.4</v>
      </c>
      <c r="AA119" s="854">
        <f t="shared" si="64"/>
        <v>110.85812605920002</v>
      </c>
      <c r="AB119" s="854">
        <f t="shared" si="65"/>
        <v>110.85812605920002</v>
      </c>
      <c r="AC119" s="855">
        <f t="shared" si="66"/>
        <v>0</v>
      </c>
      <c r="AD119" s="854">
        <f t="shared" si="67"/>
        <v>3065.5038171245901</v>
      </c>
      <c r="AE119" s="854">
        <f t="shared" si="68"/>
        <v>151.48792398361775</v>
      </c>
      <c r="AF119" s="856">
        <f t="shared" si="69"/>
        <v>100.99194932241183</v>
      </c>
      <c r="AG119" s="4"/>
      <c r="AH119" s="852">
        <f>'Recycling - Case 2'!AM209</f>
        <v>775.23165076363637</v>
      </c>
      <c r="AI119" s="853">
        <f>Parameters!S254</f>
        <v>0.71500000000000008</v>
      </c>
      <c r="AJ119" s="853">
        <f t="shared" si="70"/>
        <v>0.4</v>
      </c>
      <c r="AK119" s="854">
        <f t="shared" si="71"/>
        <v>110.85812605920002</v>
      </c>
      <c r="AL119" s="854">
        <f t="shared" si="72"/>
        <v>110.85812605920002</v>
      </c>
      <c r="AM119" s="855">
        <f t="shared" si="73"/>
        <v>0</v>
      </c>
      <c r="AN119" s="854">
        <f t="shared" si="74"/>
        <v>3065.5038171245901</v>
      </c>
      <c r="AO119" s="854">
        <f t="shared" si="75"/>
        <v>151.48792398361775</v>
      </c>
      <c r="AP119" s="856">
        <f t="shared" si="76"/>
        <v>100.99194932241183</v>
      </c>
      <c r="AQ119" s="4"/>
      <c r="AR119" s="1042">
        <f>'Recycling - Case 2'!G129</f>
        <v>844.54431605498667</v>
      </c>
      <c r="AS119" s="1043">
        <v>1</v>
      </c>
      <c r="AT119" s="1043">
        <f t="shared" si="77"/>
        <v>0.05</v>
      </c>
      <c r="AU119" s="1044">
        <f t="shared" si="78"/>
        <v>21.113607901374667</v>
      </c>
      <c r="AV119" s="1044">
        <f t="shared" si="79"/>
        <v>21.113607901374667</v>
      </c>
      <c r="AW119" s="1045">
        <f t="shared" si="80"/>
        <v>0</v>
      </c>
      <c r="AX119" s="1044">
        <f t="shared" si="91"/>
        <v>305.10179929839882</v>
      </c>
      <c r="AY119" s="1044">
        <f t="shared" si="49"/>
        <v>17.560849015654576</v>
      </c>
      <c r="AZ119" s="1046">
        <f t="shared" si="47"/>
        <v>11.70723267710305</v>
      </c>
      <c r="BA119" s="4"/>
      <c r="BB119" s="1055">
        <f t="shared" si="81"/>
        <v>178.16023399239415</v>
      </c>
      <c r="BC119" s="1056">
        <f t="shared" si="82"/>
        <v>100.99194932241183</v>
      </c>
      <c r="BD119" s="1082">
        <f t="shared" si="90"/>
        <v>11.70723267710305</v>
      </c>
      <c r="BE119" s="1056">
        <f t="shared" si="54"/>
        <v>290.85941599190903</v>
      </c>
      <c r="BF119" s="167">
        <v>0</v>
      </c>
      <c r="BG119" s="1075">
        <f t="shared" si="83"/>
        <v>290.85941599190903</v>
      </c>
      <c r="BI119" s="1055">
        <f t="shared" si="84"/>
        <v>178.16023399239415</v>
      </c>
      <c r="BJ119" s="1056">
        <f t="shared" si="85"/>
        <v>100.99194932241183</v>
      </c>
      <c r="BK119" s="1082">
        <f t="shared" si="86"/>
        <v>11.70723267710305</v>
      </c>
      <c r="BL119" s="1056">
        <f t="shared" si="55"/>
        <v>290.85941599190903</v>
      </c>
      <c r="BM119" s="167">
        <v>0</v>
      </c>
      <c r="BN119" s="1075">
        <f t="shared" si="87"/>
        <v>290.85941599190903</v>
      </c>
    </row>
    <row r="120" spans="1:66" ht="15.75" thickBot="1">
      <c r="A120" s="928">
        <f>'Input data'!A150</f>
        <v>2050</v>
      </c>
      <c r="B120" s="828">
        <f>'Input data'!B150</f>
        <v>75.517908999999989</v>
      </c>
      <c r="C120" s="828">
        <f>'Recycling - Case 2'!AK130/B120</f>
        <v>265.67597098179937</v>
      </c>
      <c r="D120" s="829">
        <f>'Recycling - Case 2'!AM130</f>
        <v>0.11108875335226075</v>
      </c>
      <c r="E120" s="830">
        <f>'Recycling - Case 2'!BE130</f>
        <v>0.22140713376170404</v>
      </c>
      <c r="F120" s="830">
        <f>'Recycling - Case 2'!BF130</f>
        <v>0.28080414434615841</v>
      </c>
      <c r="G120" s="830">
        <f>'Recycling - Case 2'!BG130</f>
        <v>5.3006967562036801E-2</v>
      </c>
      <c r="H120" s="830">
        <f>'Recycling - Case 2'!BH130</f>
        <v>0</v>
      </c>
      <c r="I120" s="830">
        <f>'Recycling - Case 2'!BI130</f>
        <v>0</v>
      </c>
      <c r="J120" s="830">
        <f>'Recycling - Case 2'!BJ130</f>
        <v>0</v>
      </c>
      <c r="K120" s="830">
        <f>'Recycling - Case 2'!BK130</f>
        <v>0.44478175433010064</v>
      </c>
      <c r="L120" s="831">
        <f t="shared" si="89"/>
        <v>1</v>
      </c>
      <c r="M120" s="4"/>
      <c r="N120" s="840">
        <f t="shared" si="56"/>
        <v>2228.8062963921584</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2">
        <f>'Recycling - Case 2'!AM170</f>
        <v>786.00488630833911</v>
      </c>
      <c r="Y120" s="858">
        <f>Parameters!S255</f>
        <v>0.71500000000000008</v>
      </c>
      <c r="Z120" s="858">
        <f t="shared" si="63"/>
        <v>0.4</v>
      </c>
      <c r="AA120" s="859">
        <f t="shared" si="64"/>
        <v>112.39869874209252</v>
      </c>
      <c r="AB120" s="859">
        <f t="shared" si="65"/>
        <v>112.39869874209252</v>
      </c>
      <c r="AC120" s="860">
        <f t="shared" si="66"/>
        <v>0</v>
      </c>
      <c r="AD120" s="859">
        <f t="shared" si="67"/>
        <v>3028.3961305102584</v>
      </c>
      <c r="AE120" s="859">
        <f t="shared" si="68"/>
        <v>149.5063853564242</v>
      </c>
      <c r="AF120" s="861">
        <f t="shared" si="69"/>
        <v>99.670923570949469</v>
      </c>
      <c r="AG120" s="4"/>
      <c r="AH120" s="852">
        <f>'Recycling - Case 2'!AM210</f>
        <v>786.00488630833911</v>
      </c>
      <c r="AI120" s="858">
        <f>Parameters!S255</f>
        <v>0.71500000000000008</v>
      </c>
      <c r="AJ120" s="858">
        <f t="shared" si="70"/>
        <v>0.4</v>
      </c>
      <c r="AK120" s="859">
        <f t="shared" si="71"/>
        <v>112.39869874209252</v>
      </c>
      <c r="AL120" s="859">
        <f t="shared" si="72"/>
        <v>112.39869874209252</v>
      </c>
      <c r="AM120" s="860">
        <f t="shared" si="73"/>
        <v>0</v>
      </c>
      <c r="AN120" s="859">
        <f t="shared" si="74"/>
        <v>3028.3961305102584</v>
      </c>
      <c r="AO120" s="859">
        <f t="shared" si="75"/>
        <v>149.5063853564242</v>
      </c>
      <c r="AP120" s="861">
        <f t="shared" si="76"/>
        <v>99.670923570949469</v>
      </c>
      <c r="AQ120" s="4"/>
      <c r="AR120" s="1047">
        <f>'Recycling - Case 2'!G130</f>
        <v>848.85557964503187</v>
      </c>
      <c r="AS120" s="1048">
        <f>Parameters!R221</f>
        <v>1</v>
      </c>
      <c r="AT120" s="1048">
        <f t="shared" si="77"/>
        <v>0.05</v>
      </c>
      <c r="AU120" s="1049">
        <f t="shared" si="78"/>
        <v>21.221389491125798</v>
      </c>
      <c r="AV120" s="1049">
        <f t="shared" si="79"/>
        <v>21.221389491125798</v>
      </c>
      <c r="AW120" s="1050">
        <f t="shared" si="80"/>
        <v>0</v>
      </c>
      <c r="AX120" s="1049">
        <f t="shared" si="91"/>
        <v>308.55544320309747</v>
      </c>
      <c r="AY120" s="1049">
        <f t="shared" si="49"/>
        <v>17.767745586427193</v>
      </c>
      <c r="AZ120" s="1051">
        <f t="shared" si="47"/>
        <v>11.845163724284795</v>
      </c>
      <c r="BA120" s="4"/>
      <c r="BB120" s="1057">
        <f t="shared" si="81"/>
        <v>173.47400346080323</v>
      </c>
      <c r="BC120" s="1058">
        <f t="shared" si="82"/>
        <v>99.670923570949469</v>
      </c>
      <c r="BD120" s="1083">
        <f t="shared" si="90"/>
        <v>11.845163724284795</v>
      </c>
      <c r="BE120" s="1058">
        <f t="shared" si="54"/>
        <v>284.99009075603749</v>
      </c>
      <c r="BF120" s="1059">
        <v>0</v>
      </c>
      <c r="BG120" s="1076">
        <f t="shared" si="83"/>
        <v>284.99009075603749</v>
      </c>
      <c r="BI120" s="1057">
        <f t="shared" si="84"/>
        <v>173.47400346080323</v>
      </c>
      <c r="BJ120" s="1058">
        <f t="shared" si="85"/>
        <v>99.670923570949469</v>
      </c>
      <c r="BK120" s="1083">
        <f t="shared" si="86"/>
        <v>11.845163724284795</v>
      </c>
      <c r="BL120" s="1058">
        <f t="shared" si="55"/>
        <v>284.99009075603749</v>
      </c>
      <c r="BM120" s="1059">
        <v>0</v>
      </c>
      <c r="BN120" s="1076">
        <f t="shared" si="87"/>
        <v>284.99009075603749</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0" t="s">
        <v>315</v>
      </c>
      <c r="E1" s="1172" t="s">
        <v>320</v>
      </c>
      <c r="F1" s="104"/>
      <c r="G1" s="104"/>
    </row>
    <row r="2" spans="1:66">
      <c r="A2" s="150"/>
      <c r="B2" s="99"/>
      <c r="C2" s="99"/>
      <c r="D2" s="104"/>
      <c r="E2" s="130"/>
      <c r="F2" s="104"/>
      <c r="G2" s="104"/>
    </row>
    <row r="3" spans="1:66">
      <c r="A3" s="150" t="s">
        <v>316</v>
      </c>
      <c r="B3" s="99"/>
      <c r="C3" s="99" t="str">
        <f>Parameters!D94</f>
        <v>varies</v>
      </c>
      <c r="D3" s="941">
        <v>0.4</v>
      </c>
      <c r="E3" s="1173">
        <f>Parameters!F94</f>
        <v>0.05</v>
      </c>
      <c r="F3" s="104"/>
      <c r="G3" s="104"/>
    </row>
    <row r="4" spans="1:66">
      <c r="A4" s="150" t="s">
        <v>260</v>
      </c>
      <c r="B4" s="99"/>
      <c r="C4" s="99">
        <f>Parameters!D95</f>
        <v>0.5</v>
      </c>
      <c r="D4" s="99">
        <f>Parameters!E95</f>
        <v>0.5</v>
      </c>
      <c r="E4" s="1173">
        <f>Parameters!F95</f>
        <v>0.5</v>
      </c>
      <c r="F4" s="104"/>
      <c r="G4" s="104"/>
    </row>
    <row r="5" spans="1:66">
      <c r="A5" s="174" t="s">
        <v>257</v>
      </c>
      <c r="B5" s="175"/>
      <c r="C5" s="175">
        <f>Parameters!D96</f>
        <v>0.05</v>
      </c>
      <c r="D5" s="99">
        <f>Parameters!E96</f>
        <v>0.05</v>
      </c>
      <c r="E5" s="1173">
        <f>Parameters!F96</f>
        <v>0.06</v>
      </c>
      <c r="F5" s="104"/>
      <c r="G5" s="104"/>
    </row>
    <row r="6" spans="1:66">
      <c r="A6" s="150" t="s">
        <v>258</v>
      </c>
      <c r="B6" s="107" t="s">
        <v>211</v>
      </c>
      <c r="C6" s="107">
        <f>Parameters!D97</f>
        <v>13.862943611198904</v>
      </c>
      <c r="D6" s="106">
        <f>Parameters!E97</f>
        <v>13.862943611198904</v>
      </c>
      <c r="E6" s="1174">
        <f>Parameters!F97</f>
        <v>11.552453009332423</v>
      </c>
      <c r="F6" s="104"/>
      <c r="G6" s="104"/>
    </row>
    <row r="7" spans="1:66">
      <c r="A7" s="150" t="s">
        <v>255</v>
      </c>
      <c r="B7" s="107" t="s">
        <v>256</v>
      </c>
      <c r="C7" s="107">
        <f>Parameters!D98</f>
        <v>6</v>
      </c>
      <c r="D7" s="99">
        <f>Parameters!E98</f>
        <v>6</v>
      </c>
      <c r="E7" s="1173">
        <f>Parameters!F98</f>
        <v>6</v>
      </c>
      <c r="F7" s="104"/>
      <c r="G7" s="104"/>
    </row>
    <row r="8" spans="1:66">
      <c r="A8" s="151" t="s">
        <v>248</v>
      </c>
      <c r="B8" s="108" t="s">
        <v>249</v>
      </c>
      <c r="C8" s="108">
        <f>Parameters!D99</f>
        <v>0.95122942450071402</v>
      </c>
      <c r="D8" s="158">
        <f>Parameters!E99</f>
        <v>0.95122942450071402</v>
      </c>
      <c r="E8" s="1175">
        <f>Parameters!F99</f>
        <v>0.94176453358424872</v>
      </c>
      <c r="F8" s="104"/>
      <c r="G8" s="104"/>
    </row>
    <row r="9" spans="1:66">
      <c r="A9" s="151" t="s">
        <v>250</v>
      </c>
      <c r="B9" s="108" t="s">
        <v>251</v>
      </c>
      <c r="C9" s="108">
        <f>Parameters!D100</f>
        <v>13</v>
      </c>
      <c r="D9" s="99">
        <f>Parameters!E100</f>
        <v>13</v>
      </c>
      <c r="E9" s="1173">
        <f>Parameters!F100</f>
        <v>13</v>
      </c>
      <c r="F9" s="104"/>
      <c r="G9" s="104"/>
      <c r="H9" s="561"/>
    </row>
    <row r="10" spans="1:66">
      <c r="A10" s="151" t="s">
        <v>252</v>
      </c>
      <c r="B10" s="108" t="s">
        <v>253</v>
      </c>
      <c r="C10" s="108">
        <f>Parameters!D101</f>
        <v>1</v>
      </c>
      <c r="D10" s="99">
        <f>Parameters!E101</f>
        <v>1</v>
      </c>
      <c r="E10" s="1173">
        <f>Parameters!F101</f>
        <v>1</v>
      </c>
      <c r="F10" s="104"/>
      <c r="G10" s="104"/>
    </row>
    <row r="11" spans="1:66">
      <c r="A11" s="151" t="s">
        <v>259</v>
      </c>
      <c r="B11" s="108" t="s">
        <v>254</v>
      </c>
      <c r="C11" s="108">
        <f>Parameters!D102</f>
        <v>0.5</v>
      </c>
      <c r="D11" s="99">
        <f>Parameters!E102</f>
        <v>0.5</v>
      </c>
      <c r="E11" s="1173">
        <f>Parameters!F102</f>
        <v>0.5</v>
      </c>
      <c r="F11" s="104"/>
      <c r="G11" s="104"/>
    </row>
    <row r="12" spans="1:66">
      <c r="A12" s="151" t="s">
        <v>729</v>
      </c>
      <c r="B12" s="108">
        <v>2002</v>
      </c>
      <c r="C12" s="108"/>
      <c r="D12" s="1444">
        <f>'Waste Summary 2017 SASOW'!L29</f>
        <v>0.13527885904981399</v>
      </c>
      <c r="E12" s="1173"/>
      <c r="F12" s="104"/>
      <c r="G12" s="104"/>
      <c r="BB12" s="314" t="s">
        <v>659</v>
      </c>
      <c r="BI12" t="s">
        <v>655</v>
      </c>
    </row>
    <row r="13" spans="1:66">
      <c r="A13" s="151" t="s">
        <v>729</v>
      </c>
      <c r="B13" s="108">
        <v>2017</v>
      </c>
      <c r="C13" s="108"/>
      <c r="D13" s="1444">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5"/>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35" t="s">
        <v>319</v>
      </c>
      <c r="BC15" s="1736"/>
      <c r="BD15" s="1736"/>
      <c r="BE15" s="1736"/>
      <c r="BF15" s="1736"/>
      <c r="BG15" s="1737"/>
      <c r="BI15" s="1735" t="s">
        <v>319</v>
      </c>
      <c r="BJ15" s="1736"/>
      <c r="BK15" s="1736"/>
      <c r="BL15" s="1736"/>
      <c r="BM15" s="1736"/>
      <c r="BN15" s="1737"/>
    </row>
    <row r="16" spans="1:66" ht="60">
      <c r="A16" s="1965" t="s">
        <v>217</v>
      </c>
      <c r="B16" s="1968" t="s">
        <v>218</v>
      </c>
      <c r="C16" s="1968" t="s">
        <v>219</v>
      </c>
      <c r="D16" s="1968" t="s">
        <v>220</v>
      </c>
      <c r="E16" s="1965" t="s">
        <v>221</v>
      </c>
      <c r="F16" s="1970" t="s">
        <v>85</v>
      </c>
      <c r="G16" s="1970" t="s">
        <v>87</v>
      </c>
      <c r="H16" s="1970" t="s">
        <v>222</v>
      </c>
      <c r="I16" s="1970" t="s">
        <v>115</v>
      </c>
      <c r="J16" s="1970" t="s">
        <v>223</v>
      </c>
      <c r="K16" s="1970" t="s">
        <v>224</v>
      </c>
      <c r="L16" s="1963" t="s">
        <v>225</v>
      </c>
      <c r="M16" s="294"/>
      <c r="N16" s="213" t="s">
        <v>235</v>
      </c>
      <c r="O16" s="214" t="s">
        <v>22</v>
      </c>
      <c r="P16" s="214" t="s">
        <v>236</v>
      </c>
      <c r="Q16" s="215" t="s">
        <v>237</v>
      </c>
      <c r="R16" s="215" t="s">
        <v>238</v>
      </c>
      <c r="S16" s="215" t="s">
        <v>239</v>
      </c>
      <c r="T16" s="215" t="s">
        <v>240</v>
      </c>
      <c r="U16" s="215" t="s">
        <v>241</v>
      </c>
      <c r="V16" s="221" t="s">
        <v>300</v>
      </c>
      <c r="W16" s="1746" t="s">
        <v>729</v>
      </c>
      <c r="X16" s="213" t="s">
        <v>726</v>
      </c>
      <c r="Y16" s="214" t="s">
        <v>22</v>
      </c>
      <c r="Z16" s="214" t="s">
        <v>236</v>
      </c>
      <c r="AA16" s="215" t="s">
        <v>237</v>
      </c>
      <c r="AB16" s="215" t="s">
        <v>238</v>
      </c>
      <c r="AC16" s="215" t="s">
        <v>239</v>
      </c>
      <c r="AD16" s="215" t="s">
        <v>240</v>
      </c>
      <c r="AE16" s="215" t="s">
        <v>241</v>
      </c>
      <c r="AF16" s="221" t="s">
        <v>300</v>
      </c>
      <c r="AG16" s="1746"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5" t="s">
        <v>267</v>
      </c>
      <c r="BC16" s="1957" t="s">
        <v>315</v>
      </c>
      <c r="BD16" s="1959" t="s">
        <v>320</v>
      </c>
      <c r="BE16" s="1957" t="s">
        <v>225</v>
      </c>
      <c r="BF16" s="1957" t="s">
        <v>321</v>
      </c>
      <c r="BG16" s="1961" t="s">
        <v>322</v>
      </c>
      <c r="BI16" s="1955" t="s">
        <v>267</v>
      </c>
      <c r="BJ16" s="1957" t="s">
        <v>315</v>
      </c>
      <c r="BK16" s="1959" t="s">
        <v>320</v>
      </c>
      <c r="BL16" s="1957" t="s">
        <v>225</v>
      </c>
      <c r="BM16" s="1957" t="s">
        <v>321</v>
      </c>
      <c r="BN16" s="1961" t="s">
        <v>322</v>
      </c>
    </row>
    <row r="17" spans="1:66" ht="24.75">
      <c r="A17" s="1966"/>
      <c r="B17" s="1969"/>
      <c r="C17" s="1969"/>
      <c r="D17" s="1969"/>
      <c r="E17" s="1966"/>
      <c r="F17" s="1971"/>
      <c r="G17" s="1971"/>
      <c r="H17" s="1971"/>
      <c r="I17" s="1971"/>
      <c r="J17" s="1971"/>
      <c r="K17" s="1971"/>
      <c r="L17" s="1964"/>
      <c r="M17" s="295"/>
      <c r="N17" s="222" t="s">
        <v>242</v>
      </c>
      <c r="O17" s="223" t="s">
        <v>22</v>
      </c>
      <c r="P17" s="223" t="s">
        <v>236</v>
      </c>
      <c r="Q17" s="224" t="s">
        <v>243</v>
      </c>
      <c r="R17" s="224" t="s">
        <v>244</v>
      </c>
      <c r="S17" s="224" t="s">
        <v>245</v>
      </c>
      <c r="T17" s="224" t="s">
        <v>301</v>
      </c>
      <c r="U17" s="224" t="s">
        <v>302</v>
      </c>
      <c r="V17" s="225" t="s">
        <v>246</v>
      </c>
      <c r="W17" s="1953"/>
      <c r="X17" s="222" t="s">
        <v>242</v>
      </c>
      <c r="Y17" s="223" t="s">
        <v>22</v>
      </c>
      <c r="Z17" s="223" t="s">
        <v>236</v>
      </c>
      <c r="AA17" s="224" t="s">
        <v>243</v>
      </c>
      <c r="AB17" s="224" t="s">
        <v>244</v>
      </c>
      <c r="AC17" s="224" t="s">
        <v>245</v>
      </c>
      <c r="AD17" s="224" t="s">
        <v>301</v>
      </c>
      <c r="AE17" s="224" t="s">
        <v>302</v>
      </c>
      <c r="AF17" s="225" t="s">
        <v>246</v>
      </c>
      <c r="AG17" s="195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6"/>
      <c r="BC17" s="1958"/>
      <c r="BD17" s="1960"/>
      <c r="BE17" s="1958"/>
      <c r="BF17" s="1958"/>
      <c r="BG17" s="1962"/>
      <c r="BI17" s="1956"/>
      <c r="BJ17" s="1958"/>
      <c r="BK17" s="1960"/>
      <c r="BL17" s="1958"/>
      <c r="BM17" s="1958"/>
      <c r="BN17" s="1962"/>
    </row>
    <row r="18" spans="1:66" ht="15.75" thickBot="1">
      <c r="A18" s="1967"/>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4"/>
      <c r="X18" s="217" t="s">
        <v>228</v>
      </c>
      <c r="Y18" s="218" t="s">
        <v>41</v>
      </c>
      <c r="Z18" s="218" t="s">
        <v>41</v>
      </c>
      <c r="AA18" s="219" t="s">
        <v>228</v>
      </c>
      <c r="AB18" s="219" t="s">
        <v>228</v>
      </c>
      <c r="AC18" s="219" t="s">
        <v>228</v>
      </c>
      <c r="AD18" s="219" t="s">
        <v>228</v>
      </c>
      <c r="AE18" s="219" t="s">
        <v>228</v>
      </c>
      <c r="AF18" s="220" t="s">
        <v>228</v>
      </c>
      <c r="AG18" s="195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8">
        <f t="shared" si="16"/>
        <v>0.13527885904981399</v>
      </c>
      <c r="AH32" s="914">
        <f>'Baseline data (from input)'!AS18*AG32</f>
        <v>2138.4367811445532</v>
      </c>
      <c r="AI32" s="907">
        <f>Parameters!S133</f>
        <v>0.71500000000000008</v>
      </c>
      <c r="AJ32" s="907">
        <f t="shared" si="17"/>
        <v>0.4</v>
      </c>
      <c r="AK32" s="906">
        <f>AH32*AJ32*AI32*$D$4</f>
        <v>305.79645970367113</v>
      </c>
      <c r="AL32" s="906">
        <f>AK32*$D$10</f>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48">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8">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AK33*(1-$D$10)</f>
        <v>0</v>
      </c>
      <c r="AN33" s="906">
        <f>AL33+(AN32*$D$8)</f>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48">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8">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48">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8">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48">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8">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48">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8">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48">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8">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48">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8">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48">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8">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48">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8">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48">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8">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48">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8">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48">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8">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48">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8">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48">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8">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48">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8">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48">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8">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48">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8">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48">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8">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48">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8">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48">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8">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48">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8">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48">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8">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48">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8">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48">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8">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48">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8">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48">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8">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48">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8">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48">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8">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48">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8">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48">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8">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48">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8">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48">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8">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48">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8">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48">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8">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48">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8">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48">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8">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48">
        <f t="shared" si="8"/>
        <v>0.13527885904981399</v>
      </c>
      <c r="X69" s="914">
        <f>'Baseline data (from input)'!AS55*W69</f>
        <v>6285.0199437970532</v>
      </c>
      <c r="Y69" s="917">
        <f>Parameters!S170</f>
        <v>0.71500000000000008</v>
      </c>
      <c r="Z69" s="917">
        <f t="shared" si="9"/>
        <v>0.4</v>
      </c>
      <c r="AA69" s="918">
        <f t="shared" si="10"/>
        <v>898.75785196297875</v>
      </c>
      <c r="AB69" s="918">
        <f t="shared" si="11"/>
        <v>898.75785196297875</v>
      </c>
      <c r="AC69" s="919">
        <f t="shared" si="12"/>
        <v>0</v>
      </c>
      <c r="AD69" s="918">
        <f t="shared" si="13"/>
        <v>12537.571695398445</v>
      </c>
      <c r="AE69" s="918">
        <f t="shared" si="14"/>
        <v>596.73474626938241</v>
      </c>
      <c r="AF69" s="1077">
        <f t="shared" si="15"/>
        <v>397.82316417958828</v>
      </c>
      <c r="AG69" s="1448">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1077">
        <f t="shared" si="23"/>
        <v>397.82316417958828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48">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48">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1597">
        <v>501</v>
      </c>
      <c r="AS70" s="888">
        <v>1</v>
      </c>
      <c r="AT70" s="888">
        <f t="shared" si="24"/>
        <v>0.05</v>
      </c>
      <c r="AU70" s="889">
        <f t="shared" si="25"/>
        <v>12.525</v>
      </c>
      <c r="AV70" s="889">
        <f t="shared" si="26"/>
        <v>12.525</v>
      </c>
      <c r="AW70" s="890">
        <f t="shared" si="27"/>
        <v>0</v>
      </c>
      <c r="AX70" s="889">
        <f t="shared" si="44"/>
        <v>12.525</v>
      </c>
      <c r="AY70" s="889">
        <f>AW70+AX69*(1-$E$8)</f>
        <v>0</v>
      </c>
      <c r="AZ70" s="1598">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48">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8">
        <f>$D$12</f>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3">
        <f t="shared" si="31"/>
        <v>352.50382234400405</v>
      </c>
      <c r="BC71" s="1604">
        <f t="shared" si="32"/>
        <v>418.2113531506368</v>
      </c>
      <c r="BD71" s="1605">
        <f t="shared" ref="BD71:BD87" si="48">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48">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3">
        <f t="shared" si="31"/>
        <v>365.04160146921089</v>
      </c>
      <c r="BC72" s="1604">
        <f t="shared" si="32"/>
        <v>429.08635544976073</v>
      </c>
      <c r="BD72" s="1605">
        <f t="shared" si="48"/>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48">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4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3">
        <f t="shared" si="31"/>
        <v>377.380320424339</v>
      </c>
      <c r="BC73" s="1604">
        <f t="shared" si="32"/>
        <v>440.58813938995121</v>
      </c>
      <c r="BD73" s="1605">
        <f t="shared" si="48"/>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48">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48">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3">
        <f t="shared" si="31"/>
        <v>389.50320822466421</v>
      </c>
      <c r="BC74" s="1604">
        <f t="shared" si="32"/>
        <v>449.33471885423859</v>
      </c>
      <c r="BD74" s="1605">
        <f t="shared" si="48"/>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48">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48">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3">
        <f t="shared" si="31"/>
        <v>401.39828370560582</v>
      </c>
      <c r="BC75" s="1604">
        <f t="shared" si="32"/>
        <v>455.80540481488362</v>
      </c>
      <c r="BD75" s="1605">
        <f t="shared" si="48"/>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48">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48">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3">
        <f t="shared" si="31"/>
        <v>413.06606569957484</v>
      </c>
      <c r="BC76" s="1604">
        <f t="shared" si="32"/>
        <v>460.13310664023578</v>
      </c>
      <c r="BD76" s="1605">
        <f t="shared" si="48"/>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48">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48">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3">
        <f t="shared" si="31"/>
        <v>424.51763944073804</v>
      </c>
      <c r="BC77" s="1604">
        <f t="shared" si="32"/>
        <v>462.30164861039526</v>
      </c>
      <c r="BD77" s="1605">
        <f t="shared" si="48"/>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48">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48">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3">
        <f t="shared" si="31"/>
        <v>435.75891565885144</v>
      </c>
      <c r="BC78" s="1604">
        <f t="shared" si="32"/>
        <v>462.14243125415283</v>
      </c>
      <c r="BD78" s="1605">
        <f t="shared" si="48"/>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48">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48">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3">
        <f t="shared" si="31"/>
        <v>446.80677050108471</v>
      </c>
      <c r="BC79" s="1604">
        <f t="shared" si="32"/>
        <v>459.13306952818652</v>
      </c>
      <c r="BD79" s="1605">
        <f t="shared" si="48"/>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48">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48">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3">
        <f t="shared" si="31"/>
        <v>457.66467940490338</v>
      </c>
      <c r="BC80" s="1604">
        <f t="shared" si="32"/>
        <v>452.53335460608736</v>
      </c>
      <c r="BD80" s="1605">
        <f t="shared" si="48"/>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48">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48">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3">
        <f t="shared" si="31"/>
        <v>465.58393089502232</v>
      </c>
      <c r="BC81" s="1604">
        <f t="shared" si="32"/>
        <v>443.27742511609495</v>
      </c>
      <c r="BD81" s="1605">
        <f t="shared" si="48"/>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49">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3">
        <f t="shared" si="31"/>
        <v>471.51055951772577</v>
      </c>
      <c r="BC82" s="1604">
        <f t="shared" si="32"/>
        <v>431.40785228448499</v>
      </c>
      <c r="BD82" s="1605">
        <f t="shared" si="48"/>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49">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3">
        <f t="shared" si="31"/>
        <v>474.78721249604229</v>
      </c>
      <c r="BC83" s="1604">
        <f t="shared" si="32"/>
        <v>416.85758956150511</v>
      </c>
      <c r="BD83" s="1605">
        <f t="shared" si="48"/>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49">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9">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3">
        <f t="shared" si="31"/>
        <v>475.71077220994249</v>
      </c>
      <c r="BC84" s="1604">
        <f t="shared" si="32"/>
        <v>403.18657895653814</v>
      </c>
      <c r="BD84" s="1605">
        <f t="shared" si="48"/>
        <v>4.7452171293671848</v>
      </c>
      <c r="BE84" s="1604">
        <f t="shared" ref="BE84:BE120" si="54">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55">SUM(BI84:BK84)</f>
        <v>883.64256829584781</v>
      </c>
      <c r="BM84" s="1606">
        <v>0</v>
      </c>
      <c r="BN84" s="1607">
        <f t="shared" si="40"/>
        <v>883.64256829584781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49">
        <f t="shared" si="52"/>
        <v>2.197312110627072E-2</v>
      </c>
      <c r="X85" s="891">
        <f>'Baseline data (from input)'!AS71*W85</f>
        <v>1476.20316835363</v>
      </c>
      <c r="Y85" s="885">
        <f>Parameters!S186</f>
        <v>0.71500000000000008</v>
      </c>
      <c r="Z85" s="885">
        <f t="shared" ref="Z85:Z120" si="63">$D$3</f>
        <v>0.4</v>
      </c>
      <c r="AA85" s="884">
        <f t="shared" ref="AA85:AA119"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49">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3">
        <f t="shared" ref="BB85:BB120" si="81">V85</f>
        <v>474.45668773704853</v>
      </c>
      <c r="BC85" s="1604">
        <f t="shared" ref="BC85:BC120" si="82">AF85</f>
        <v>390.3012281152715</v>
      </c>
      <c r="BD85" s="1605">
        <f t="shared" si="48"/>
        <v>4.9551433411659982</v>
      </c>
      <c r="BE85" s="1604">
        <f t="shared" si="54"/>
        <v>869.71305919348606</v>
      </c>
      <c r="BF85" s="1606">
        <v>0</v>
      </c>
      <c r="BG85" s="1607">
        <f t="shared" ref="BG85:BG120" si="83">BE85-BF85</f>
        <v>869.71305919348606</v>
      </c>
      <c r="BI85" s="1603">
        <f t="shared" ref="BI85:BI120" si="84">V85</f>
        <v>474.45668773704853</v>
      </c>
      <c r="BJ85" s="1604">
        <f t="shared" ref="BJ85:BJ120" si="85">AP85</f>
        <v>390.3012281152715</v>
      </c>
      <c r="BK85" s="1605">
        <f t="shared" ref="BK85:BK120" si="86">AZ85</f>
        <v>4.9551433411659982</v>
      </c>
      <c r="BL85" s="1604">
        <f t="shared" si="55"/>
        <v>869.71305919348606</v>
      </c>
      <c r="BM85" s="1606">
        <v>0</v>
      </c>
      <c r="BN85" s="1607">
        <f t="shared" ref="BN85:BN120" si="87">BL85-BM85</f>
        <v>869.71305919348606</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49">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49">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3">
        <f t="shared" si="81"/>
        <v>471.19383124565587</v>
      </c>
      <c r="BC86" s="1604">
        <f t="shared" si="82"/>
        <v>378.12956244511162</v>
      </c>
      <c r="BD86" s="1605">
        <f t="shared" si="48"/>
        <v>5.1528444021078155</v>
      </c>
      <c r="BE86" s="1604">
        <f t="shared" si="54"/>
        <v>854.47623809287529</v>
      </c>
      <c r="BF86" s="1606">
        <v>0</v>
      </c>
      <c r="BG86" s="1607">
        <f t="shared" si="83"/>
        <v>854.47623809287529</v>
      </c>
      <c r="BI86" s="1603">
        <f t="shared" si="84"/>
        <v>471.19383124565587</v>
      </c>
      <c r="BJ86" s="1604">
        <f t="shared" si="85"/>
        <v>378.12956244511162</v>
      </c>
      <c r="BK86" s="1605">
        <f t="shared" si="86"/>
        <v>5.1528444021078155</v>
      </c>
      <c r="BL86" s="1604">
        <f t="shared" si="55"/>
        <v>854.47623809287529</v>
      </c>
      <c r="BM86" s="1606">
        <v>0</v>
      </c>
      <c r="BN86" s="1607">
        <f t="shared" si="87"/>
        <v>854.47623809287529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49">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10940.456135133396</v>
      </c>
      <c r="AE87" s="884">
        <f t="shared" si="68"/>
        <v>549.90342073558929</v>
      </c>
      <c r="AF87" s="897">
        <f t="shared" si="69"/>
        <v>366.60228049039284</v>
      </c>
      <c r="AG87" s="1449">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10940.456135133396</v>
      </c>
      <c r="AO87" s="884">
        <f t="shared" si="75"/>
        <v>549.90342073558929</v>
      </c>
      <c r="AP87" s="897">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08">
        <f t="shared" si="81"/>
        <v>466.08505262809604</v>
      </c>
      <c r="BC87" s="1609">
        <f t="shared" si="82"/>
        <v>366.60228049039284</v>
      </c>
      <c r="BD87" s="1610">
        <f t="shared" si="48"/>
        <v>5.3390322495547968</v>
      </c>
      <c r="BE87" s="1609">
        <f t="shared" si="54"/>
        <v>838.02636536804357</v>
      </c>
      <c r="BF87" s="1611">
        <v>0</v>
      </c>
      <c r="BG87" s="1612">
        <f t="shared" si="83"/>
        <v>838.02636536804357</v>
      </c>
      <c r="BI87" s="1608">
        <f t="shared" si="84"/>
        <v>466.08505262809604</v>
      </c>
      <c r="BJ87" s="1609">
        <f t="shared" si="85"/>
        <v>366.60228049039284</v>
      </c>
      <c r="BK87" s="1610">
        <f t="shared" si="86"/>
        <v>5.3390322495547968</v>
      </c>
      <c r="BL87" s="1609">
        <f t="shared" si="55"/>
        <v>838.02636536804357</v>
      </c>
      <c r="BM87" s="1611">
        <v>0</v>
      </c>
      <c r="BN87" s="1612">
        <f t="shared" si="87"/>
        <v>838.02636536804357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1225.3415122615597</v>
      </c>
      <c r="Y88" s="1011">
        <f>Parameters!S258</f>
        <v>0.71500000000000008</v>
      </c>
      <c r="Z88" s="1011">
        <f t="shared" si="63"/>
        <v>0.4</v>
      </c>
      <c r="AA88" s="1012">
        <f t="shared" si="64"/>
        <v>175.22383625340308</v>
      </c>
      <c r="AB88" s="1012">
        <f t="shared" si="65"/>
        <v>175.22383625340308</v>
      </c>
      <c r="AC88" s="1013">
        <f t="shared" si="66"/>
        <v>0</v>
      </c>
      <c r="AD88" s="1012">
        <f t="shared" si="67"/>
        <v>10582.107629451648</v>
      </c>
      <c r="AE88" s="1012">
        <f t="shared" si="68"/>
        <v>533.57234193514978</v>
      </c>
      <c r="AF88" s="1014">
        <f t="shared" si="69"/>
        <v>355.71489462343317</v>
      </c>
      <c r="AH88" s="1010">
        <f>'Recycling - Case 3'!AM178</f>
        <v>1225.3415122615597</v>
      </c>
      <c r="AI88" s="1011">
        <f>Parameters!S258</f>
        <v>0.71500000000000008</v>
      </c>
      <c r="AJ88" s="1011">
        <f t="shared" si="70"/>
        <v>0.4</v>
      </c>
      <c r="AK88" s="1012">
        <f t="shared" si="71"/>
        <v>175.22383625340308</v>
      </c>
      <c r="AL88" s="1012">
        <f t="shared" si="72"/>
        <v>175.22383625340308</v>
      </c>
      <c r="AM88" s="1013">
        <f t="shared" si="73"/>
        <v>0</v>
      </c>
      <c r="AN88" s="1012">
        <f t="shared" si="74"/>
        <v>10582.107629451648</v>
      </c>
      <c r="AO88" s="1012">
        <f t="shared" si="75"/>
        <v>533.57234193514978</v>
      </c>
      <c r="AP88" s="1014">
        <f t="shared" si="76"/>
        <v>355.71489462343317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 t="shared" si="85"/>
        <v>355.71489462343317</v>
      </c>
      <c r="BK88" s="1081">
        <f t="shared" si="86"/>
        <v>5.514377360864759</v>
      </c>
      <c r="BL88" s="1053">
        <f t="shared" si="55"/>
        <v>820.5169947820342</v>
      </c>
      <c r="BM88" s="1054">
        <v>0</v>
      </c>
      <c r="BN88" s="1074">
        <f t="shared" si="87"/>
        <v>820.5169947820342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868.83370934356458</v>
      </c>
      <c r="Y89" s="853">
        <f>Parameters!S259</f>
        <v>0.71500000000000008</v>
      </c>
      <c r="Z89" s="853">
        <f t="shared" si="63"/>
        <v>0.4</v>
      </c>
      <c r="AA89" s="854">
        <f t="shared" si="64"/>
        <v>124.24322043612976</v>
      </c>
      <c r="AB89" s="854">
        <f t="shared" si="65"/>
        <v>124.24322043612976</v>
      </c>
      <c r="AC89" s="855">
        <f t="shared" si="66"/>
        <v>0</v>
      </c>
      <c r="AD89" s="854">
        <f t="shared" si="67"/>
        <v>10190.255370804036</v>
      </c>
      <c r="AE89" s="854">
        <f t="shared" si="68"/>
        <v>516.09547908374179</v>
      </c>
      <c r="AF89" s="856">
        <f t="shared" si="69"/>
        <v>344.06365272249451</v>
      </c>
      <c r="AH89" s="852">
        <f>'Recycling - Case 3'!AM179</f>
        <v>868.83370934356458</v>
      </c>
      <c r="AI89" s="853">
        <f>Parameters!S259</f>
        <v>0.71500000000000008</v>
      </c>
      <c r="AJ89" s="853">
        <f t="shared" si="70"/>
        <v>0.4</v>
      </c>
      <c r="AK89" s="854">
        <f t="shared" si="71"/>
        <v>124.24322043612976</v>
      </c>
      <c r="AL89" s="854">
        <f t="shared" si="72"/>
        <v>124.24322043612976</v>
      </c>
      <c r="AM89" s="855">
        <f t="shared" si="73"/>
        <v>0</v>
      </c>
      <c r="AN89" s="854">
        <f t="shared" si="74"/>
        <v>10190.255370804036</v>
      </c>
      <c r="AO89" s="854">
        <f t="shared" si="75"/>
        <v>516.09547908374179</v>
      </c>
      <c r="AP89" s="856">
        <f t="shared" si="76"/>
        <v>344.06365272249451</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344.06365272249451</v>
      </c>
      <c r="BD89" s="1082">
        <f t="shared" ref="BD89:BD120" si="90">AZ89</f>
        <v>5.6979273858206847</v>
      </c>
      <c r="BE89" s="1056">
        <f t="shared" si="54"/>
        <v>801.90031185312534</v>
      </c>
      <c r="BF89" s="167">
        <v>0</v>
      </c>
      <c r="BG89" s="1075">
        <f t="shared" si="83"/>
        <v>801.90031185312534</v>
      </c>
      <c r="BI89" s="1055">
        <f t="shared" si="84"/>
        <v>452.13873174481023</v>
      </c>
      <c r="BJ89" s="1056">
        <f t="shared" si="85"/>
        <v>344.06365272249451</v>
      </c>
      <c r="BK89" s="1082">
        <f t="shared" si="86"/>
        <v>5.6979273858206847</v>
      </c>
      <c r="BL89" s="1056">
        <f t="shared" si="55"/>
        <v>801.90031185312534</v>
      </c>
      <c r="BM89" s="167">
        <v>0</v>
      </c>
      <c r="BN89" s="1075">
        <f t="shared" si="87"/>
        <v>801.90031185312534</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710.35151505933902</v>
      </c>
      <c r="Y90" s="853">
        <f>Parameters!S260</f>
        <v>0.71500000000000008</v>
      </c>
      <c r="Z90" s="853">
        <f t="shared" si="63"/>
        <v>0.4</v>
      </c>
      <c r="AA90" s="854">
        <f t="shared" si="64"/>
        <v>101.58026665348551</v>
      </c>
      <c r="AB90" s="854">
        <f t="shared" si="65"/>
        <v>101.58026665348551</v>
      </c>
      <c r="AC90" s="855">
        <f t="shared" si="66"/>
        <v>0</v>
      </c>
      <c r="AD90" s="854">
        <f t="shared" si="67"/>
        <v>9794.8510185387186</v>
      </c>
      <c r="AE90" s="854">
        <f t="shared" si="68"/>
        <v>496.98461891880271</v>
      </c>
      <c r="AF90" s="856">
        <f t="shared" si="69"/>
        <v>331.32307927920181</v>
      </c>
      <c r="AH90" s="852">
        <f>'Recycling - Case 3'!AM180</f>
        <v>710.35151505933902</v>
      </c>
      <c r="AI90" s="853">
        <f>Parameters!S260</f>
        <v>0.71500000000000008</v>
      </c>
      <c r="AJ90" s="853">
        <f t="shared" si="70"/>
        <v>0.4</v>
      </c>
      <c r="AK90" s="854">
        <f t="shared" si="71"/>
        <v>101.58026665348551</v>
      </c>
      <c r="AL90" s="854">
        <f t="shared" si="72"/>
        <v>101.58026665348551</v>
      </c>
      <c r="AM90" s="855">
        <f t="shared" si="73"/>
        <v>0</v>
      </c>
      <c r="AN90" s="854">
        <f t="shared" si="74"/>
        <v>9794.8510185387186</v>
      </c>
      <c r="AO90" s="854">
        <f t="shared" si="75"/>
        <v>496.98461891880271</v>
      </c>
      <c r="AP90" s="856">
        <f t="shared" si="76"/>
        <v>331.32307927920181</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331.32307927920181</v>
      </c>
      <c r="BD90" s="1082">
        <f t="shared" si="90"/>
        <v>5.8896729790712348</v>
      </c>
      <c r="BE90" s="1056">
        <f t="shared" si="54"/>
        <v>781.98558841046611</v>
      </c>
      <c r="BF90" s="167">
        <v>0</v>
      </c>
      <c r="BG90" s="1075">
        <f t="shared" si="83"/>
        <v>781.98558841046611</v>
      </c>
      <c r="BI90" s="1055">
        <f t="shared" si="84"/>
        <v>444.77283615219312</v>
      </c>
      <c r="BJ90" s="1056">
        <f t="shared" si="85"/>
        <v>331.32307927920181</v>
      </c>
      <c r="BK90" s="1082">
        <f t="shared" si="86"/>
        <v>5.8896729790712348</v>
      </c>
      <c r="BL90" s="1056">
        <f t="shared" si="55"/>
        <v>781.98558841046611</v>
      </c>
      <c r="BM90" s="167">
        <v>0</v>
      </c>
      <c r="BN90" s="1075">
        <f t="shared" si="87"/>
        <v>781.98558841046611</v>
      </c>
    </row>
    <row r="91" spans="1:73">
      <c r="A91" s="927">
        <f>'Input data'!A121</f>
        <v>2021</v>
      </c>
      <c r="B91" s="824">
        <f>'Input data'!B121</f>
        <v>59.991580449204264</v>
      </c>
      <c r="C91" s="824">
        <f>'Recycling - Case 3'!AK101/B91</f>
        <v>382.99573336469109</v>
      </c>
      <c r="D91" s="825">
        <f>'Recycling - Case 3'!AM101</f>
        <v>0.31526187030246827</v>
      </c>
      <c r="E91" s="826">
        <f>'Recycling - Case 3'!BE101</f>
        <v>0.19716607376836848</v>
      </c>
      <c r="F91" s="826">
        <f>'Recycling - Case 3'!BF101</f>
        <v>0.2500599221803147</v>
      </c>
      <c r="G91" s="826">
        <f>'Recycling - Case 3'!BG101</f>
        <v>6.8431683110624295E-2</v>
      </c>
      <c r="H91" s="826">
        <f>'Recycling - Case 3'!BH101</f>
        <v>0</v>
      </c>
      <c r="I91" s="826">
        <f>'Recycling - Case 3'!BI101</f>
        <v>0</v>
      </c>
      <c r="J91" s="826">
        <f>'Recycling - Case 3'!BJ101</f>
        <v>0</v>
      </c>
      <c r="K91" s="826">
        <f>'Recycling - Case 3'!BK101</f>
        <v>0.48434232094069229</v>
      </c>
      <c r="L91" s="827">
        <f t="shared" si="89"/>
        <v>0.99999999999999978</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3'!AM141</f>
        <v>114.13149813973843</v>
      </c>
      <c r="Y91" s="853">
        <f>Parameters!S261</f>
        <v>0.71500000000000008</v>
      </c>
      <c r="Z91" s="853">
        <f t="shared" si="63"/>
        <v>0.4</v>
      </c>
      <c r="AA91" s="854">
        <f t="shared" si="64"/>
        <v>16.320804233982599</v>
      </c>
      <c r="AB91" s="854">
        <f t="shared" si="65"/>
        <v>16.320804233982599</v>
      </c>
      <c r="AC91" s="855">
        <f t="shared" si="66"/>
        <v>0</v>
      </c>
      <c r="AD91" s="854">
        <f t="shared" si="67"/>
        <v>9333.4713016688002</v>
      </c>
      <c r="AE91" s="854">
        <f t="shared" si="68"/>
        <v>477.70052110390077</v>
      </c>
      <c r="AF91" s="856">
        <f t="shared" si="69"/>
        <v>318.46701406926718</v>
      </c>
      <c r="AG91" s="4"/>
      <c r="AH91" s="852">
        <f>'Recycling - Case 3'!AM181</f>
        <v>114.13149813973843</v>
      </c>
      <c r="AI91" s="853">
        <f>Parameters!S261</f>
        <v>0.71500000000000008</v>
      </c>
      <c r="AJ91" s="853">
        <f t="shared" si="70"/>
        <v>0.4</v>
      </c>
      <c r="AK91" s="854">
        <f t="shared" si="71"/>
        <v>16.320804233982599</v>
      </c>
      <c r="AL91" s="854">
        <f t="shared" si="72"/>
        <v>16.320804233982599</v>
      </c>
      <c r="AM91" s="855">
        <f t="shared" si="73"/>
        <v>0</v>
      </c>
      <c r="AN91" s="854">
        <f t="shared" si="74"/>
        <v>9333.4713016688002</v>
      </c>
      <c r="AO91" s="854">
        <f t="shared" si="75"/>
        <v>477.70052110390077</v>
      </c>
      <c r="AP91" s="856">
        <f t="shared" si="76"/>
        <v>318.46701406926718</v>
      </c>
      <c r="AR91" s="850">
        <f>'Recycling - Case 3'!G101</f>
        <v>577.1781389317141</v>
      </c>
      <c r="AS91" s="846">
        <v>1</v>
      </c>
      <c r="AT91" s="846">
        <f t="shared" si="77"/>
        <v>0.05</v>
      </c>
      <c r="AU91" s="832">
        <f t="shared" si="78"/>
        <v>14.429453473292853</v>
      </c>
      <c r="AV91" s="832">
        <f t="shared" si="79"/>
        <v>14.429453473292853</v>
      </c>
      <c r="AW91" s="835">
        <f t="shared" si="80"/>
        <v>0</v>
      </c>
      <c r="AX91" s="832">
        <f t="shared" si="44"/>
        <v>162.14830297338483</v>
      </c>
      <c r="AY91" s="832">
        <f t="shared" si="49"/>
        <v>9.1344235127394082</v>
      </c>
      <c r="AZ91" s="930">
        <f t="shared" si="47"/>
        <v>6.0896156751596058</v>
      </c>
      <c r="BA91" s="4"/>
      <c r="BB91" s="1055">
        <f t="shared" si="81"/>
        <v>436.44519342796008</v>
      </c>
      <c r="BC91" s="1056">
        <f t="shared" si="82"/>
        <v>318.46701406926718</v>
      </c>
      <c r="BD91" s="1082">
        <f t="shared" si="90"/>
        <v>6.0896156751596058</v>
      </c>
      <c r="BE91" s="1056">
        <f t="shared" si="54"/>
        <v>761.00182317238682</v>
      </c>
      <c r="BF91" s="167">
        <v>0</v>
      </c>
      <c r="BG91" s="1075">
        <f t="shared" si="83"/>
        <v>761.00182317238682</v>
      </c>
      <c r="BI91" s="1055">
        <f t="shared" si="84"/>
        <v>436.44519342796008</v>
      </c>
      <c r="BJ91" s="1056">
        <f t="shared" si="85"/>
        <v>318.46701406926718</v>
      </c>
      <c r="BK91" s="1082">
        <f t="shared" si="86"/>
        <v>6.0896156751596058</v>
      </c>
      <c r="BL91" s="1056">
        <f t="shared" si="55"/>
        <v>761.00182317238682</v>
      </c>
      <c r="BM91" s="167">
        <v>0</v>
      </c>
      <c r="BN91" s="1075">
        <f t="shared" si="87"/>
        <v>761.00182317238682</v>
      </c>
    </row>
    <row r="92" spans="1:73">
      <c r="A92" s="927">
        <f>'Input data'!A122</f>
        <v>2022</v>
      </c>
      <c r="B92" s="824">
        <f>'Input data'!B122</f>
        <v>60.682333816399378</v>
      </c>
      <c r="C92" s="824">
        <f>'Recycling - Case 3'!AK102/B92</f>
        <v>357.3809169014288</v>
      </c>
      <c r="D92" s="825">
        <f>'Recycling - Case 3'!AM102</f>
        <v>0.25693229767920933</v>
      </c>
      <c r="E92" s="826">
        <f>'Recycling - Case 3'!BE102</f>
        <v>0.18290250130037575</v>
      </c>
      <c r="F92" s="826">
        <f>'Recycling - Case 3'!BF102</f>
        <v>0.2319698534722987</v>
      </c>
      <c r="G92" s="826">
        <f>'Recycling - Case 3'!BG102</f>
        <v>7.1510507677601323E-2</v>
      </c>
      <c r="H92" s="826">
        <f>'Recycling - Case 3'!BH102</f>
        <v>0</v>
      </c>
      <c r="I92" s="826">
        <f>'Recycling - Case 3'!BI102</f>
        <v>0</v>
      </c>
      <c r="J92" s="826">
        <f>'Recycling - Case 3'!BJ102</f>
        <v>0</v>
      </c>
      <c r="K92" s="826">
        <f>'Recycling - Case 3'!BK102</f>
        <v>0.51361713754972427</v>
      </c>
      <c r="L92" s="827">
        <f t="shared" si="89"/>
        <v>1</v>
      </c>
      <c r="M92" s="4"/>
      <c r="N92" s="838">
        <f t="shared" si="56"/>
        <v>5572.0157409803969</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832">
        <f t="shared" si="57"/>
        <v>237.96357706868272</v>
      </c>
      <c r="R92" s="832">
        <f t="shared" si="58"/>
        <v>237.96357706868272</v>
      </c>
      <c r="S92" s="835">
        <f t="shared" si="59"/>
        <v>0</v>
      </c>
      <c r="T92" s="832">
        <f t="shared" si="60"/>
        <v>12683.58798684069</v>
      </c>
      <c r="U92" s="832">
        <f t="shared" si="61"/>
        <v>638.10080857321782</v>
      </c>
      <c r="V92" s="839">
        <f t="shared" si="62"/>
        <v>425.40053904881188</v>
      </c>
      <c r="W92" s="4"/>
      <c r="X92" s="852">
        <f>'Recycling - Case 3'!AM142</f>
        <v>0</v>
      </c>
      <c r="Y92" s="853">
        <f>Parameters!S262</f>
        <v>0.71500000000000008</v>
      </c>
      <c r="Z92" s="853">
        <f t="shared" si="63"/>
        <v>0.4</v>
      </c>
      <c r="AA92" s="854">
        <f t="shared" si="64"/>
        <v>0</v>
      </c>
      <c r="AB92" s="854">
        <f t="shared" si="65"/>
        <v>0</v>
      </c>
      <c r="AC92" s="855">
        <f t="shared" si="66"/>
        <v>0</v>
      </c>
      <c r="AD92" s="854">
        <f t="shared" si="67"/>
        <v>8878.2725348803433</v>
      </c>
      <c r="AE92" s="854">
        <f t="shared" si="68"/>
        <v>455.19876678845725</v>
      </c>
      <c r="AF92" s="856">
        <f t="shared" si="69"/>
        <v>303.46584452563815</v>
      </c>
      <c r="AG92" s="4"/>
      <c r="AH92" s="852">
        <f>'Recycling - Case 3'!AM182</f>
        <v>0</v>
      </c>
      <c r="AI92" s="853">
        <f>Parameters!S262</f>
        <v>0.71500000000000008</v>
      </c>
      <c r="AJ92" s="853">
        <f t="shared" si="70"/>
        <v>0.4</v>
      </c>
      <c r="AK92" s="854">
        <f t="shared" si="71"/>
        <v>0</v>
      </c>
      <c r="AL92" s="854">
        <f t="shared" si="72"/>
        <v>0</v>
      </c>
      <c r="AM92" s="855">
        <f t="shared" si="73"/>
        <v>0</v>
      </c>
      <c r="AN92" s="854">
        <f t="shared" si="74"/>
        <v>8878.2725348803433</v>
      </c>
      <c r="AO92" s="854">
        <f t="shared" si="75"/>
        <v>455.19876678845725</v>
      </c>
      <c r="AP92" s="856">
        <f t="shared" si="76"/>
        <v>303.46584452563815</v>
      </c>
      <c r="AR92" s="850">
        <f>'Recycling - Case 3'!G102</f>
        <v>595.31061323185247</v>
      </c>
      <c r="AS92" s="846">
        <v>1</v>
      </c>
      <c r="AT92" s="846">
        <f t="shared" si="77"/>
        <v>0.05</v>
      </c>
      <c r="AU92" s="832">
        <f t="shared" si="78"/>
        <v>14.882765330796312</v>
      </c>
      <c r="AV92" s="832">
        <f t="shared" si="79"/>
        <v>14.882765330796312</v>
      </c>
      <c r="AW92" s="835">
        <f t="shared" si="80"/>
        <v>0</v>
      </c>
      <c r="AX92" s="832">
        <f t="shared" si="44"/>
        <v>167.58828625200351</v>
      </c>
      <c r="AY92" s="832">
        <f t="shared" si="49"/>
        <v>9.4427820521776162</v>
      </c>
      <c r="AZ92" s="930">
        <f t="shared" si="47"/>
        <v>6.2951880347850775</v>
      </c>
      <c r="BA92" s="4"/>
      <c r="BB92" s="1055">
        <f t="shared" si="81"/>
        <v>425.40053904881188</v>
      </c>
      <c r="BC92" s="1056">
        <f t="shared" si="82"/>
        <v>303.46584452563815</v>
      </c>
      <c r="BD92" s="1082">
        <f t="shared" si="90"/>
        <v>6.2951880347850775</v>
      </c>
      <c r="BE92" s="1056">
        <f t="shared" si="54"/>
        <v>735.16157160923512</v>
      </c>
      <c r="BF92" s="167">
        <v>0</v>
      </c>
      <c r="BG92" s="1075">
        <f t="shared" si="83"/>
        <v>735.16157160923512</v>
      </c>
      <c r="BI92" s="1055">
        <f t="shared" si="84"/>
        <v>425.40053904881188</v>
      </c>
      <c r="BJ92" s="1056">
        <f t="shared" si="85"/>
        <v>303.46584452563815</v>
      </c>
      <c r="BK92" s="1082">
        <f t="shared" si="86"/>
        <v>6.2951880347850775</v>
      </c>
      <c r="BL92" s="1056">
        <f t="shared" si="55"/>
        <v>735.16157160923512</v>
      </c>
      <c r="BM92" s="167">
        <v>0</v>
      </c>
      <c r="BN92" s="1075">
        <f t="shared" si="87"/>
        <v>735.16157160923512</v>
      </c>
    </row>
    <row r="93" spans="1:73">
      <c r="A93" s="927">
        <f>'Input data'!A123</f>
        <v>2023</v>
      </c>
      <c r="B93" s="824">
        <f>'Input data'!B123</f>
        <v>61.381040636574369</v>
      </c>
      <c r="C93" s="824">
        <f>'Recycling - Case 3'!AK103/B93</f>
        <v>349.33248261682064</v>
      </c>
      <c r="D93" s="825">
        <f>'Recycling - Case 3'!AM103</f>
        <v>0.24426822179068367</v>
      </c>
      <c r="E93" s="826">
        <f>'Recycling - Case 3'!BE103</f>
        <v>0.18636100272049838</v>
      </c>
      <c r="F93" s="826">
        <f>'Recycling - Case 3'!BF103</f>
        <v>0.23635616892427852</v>
      </c>
      <c r="G93" s="826">
        <f>'Recycling - Case 3'!BG103</f>
        <v>6.9596401833593682E-2</v>
      </c>
      <c r="H93" s="826">
        <f>'Recycling - Case 3'!BH103</f>
        <v>0</v>
      </c>
      <c r="I93" s="826">
        <f>'Recycling - Case 3'!BI103</f>
        <v>0</v>
      </c>
      <c r="J93" s="826">
        <f>'Recycling - Case 3'!BJ103</f>
        <v>0</v>
      </c>
      <c r="K93" s="826">
        <f>'Recycling - Case 3'!BK103</f>
        <v>0.50768642652162943</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832">
        <f t="shared" si="57"/>
        <v>230.66816508590523</v>
      </c>
      <c r="R93" s="832">
        <f t="shared" si="58"/>
        <v>230.66816508590523</v>
      </c>
      <c r="S93" s="835">
        <f t="shared" si="59"/>
        <v>0</v>
      </c>
      <c r="T93" s="832">
        <f t="shared" si="60"/>
        <v>12295.670266412544</v>
      </c>
      <c r="U93" s="832">
        <f t="shared" si="61"/>
        <v>618.58588551405057</v>
      </c>
      <c r="V93" s="839">
        <f t="shared" si="62"/>
        <v>412.39059034270036</v>
      </c>
      <c r="W93" s="4"/>
      <c r="X93" s="852">
        <f>'Recycling - Case 3'!AM143</f>
        <v>0</v>
      </c>
      <c r="Y93" s="853">
        <f>Parameters!S263</f>
        <v>0.71500000000000008</v>
      </c>
      <c r="Z93" s="853">
        <f t="shared" si="63"/>
        <v>0.4</v>
      </c>
      <c r="AA93" s="854">
        <f t="shared" si="64"/>
        <v>0</v>
      </c>
      <c r="AB93" s="854">
        <f t="shared" si="65"/>
        <v>0</v>
      </c>
      <c r="AC93" s="855">
        <f t="shared" si="66"/>
        <v>0</v>
      </c>
      <c r="AD93" s="854">
        <f t="shared" si="67"/>
        <v>8445.2740739147248</v>
      </c>
      <c r="AE93" s="854">
        <f t="shared" si="68"/>
        <v>432.99846096561896</v>
      </c>
      <c r="AF93" s="856">
        <f t="shared" si="69"/>
        <v>288.66564064374597</v>
      </c>
      <c r="AG93" s="4"/>
      <c r="AH93" s="852">
        <f>'Recycling - Case 3'!AM183</f>
        <v>0</v>
      </c>
      <c r="AI93" s="853">
        <f>Parameters!S263</f>
        <v>0.71500000000000008</v>
      </c>
      <c r="AJ93" s="853">
        <f t="shared" si="70"/>
        <v>0.4</v>
      </c>
      <c r="AK93" s="854">
        <f t="shared" si="71"/>
        <v>0</v>
      </c>
      <c r="AL93" s="854">
        <f t="shared" si="72"/>
        <v>0</v>
      </c>
      <c r="AM93" s="855">
        <f t="shared" si="73"/>
        <v>0</v>
      </c>
      <c r="AN93" s="854">
        <f t="shared" si="74"/>
        <v>8445.2740739147248</v>
      </c>
      <c r="AO93" s="854">
        <f t="shared" si="75"/>
        <v>432.99846096561896</v>
      </c>
      <c r="AP93" s="856">
        <f t="shared" si="76"/>
        <v>288.66564064374597</v>
      </c>
      <c r="AQ93" s="4"/>
      <c r="AR93" s="850">
        <f>'Recycling - Case 3'!G103</f>
        <v>613.78412832495871</v>
      </c>
      <c r="AS93" s="846">
        <v>1</v>
      </c>
      <c r="AT93" s="846">
        <f t="shared" si="77"/>
        <v>0.05</v>
      </c>
      <c r="AU93" s="832">
        <f t="shared" si="78"/>
        <v>15.344603208123969</v>
      </c>
      <c r="AV93" s="832">
        <f t="shared" si="79"/>
        <v>15.344603208123969</v>
      </c>
      <c r="AW93" s="835">
        <f t="shared" si="80"/>
        <v>0</v>
      </c>
      <c r="AX93" s="832">
        <f t="shared" si="44"/>
        <v>173.17330744442563</v>
      </c>
      <c r="AY93" s="832">
        <f t="shared" si="49"/>
        <v>9.7595820157018629</v>
      </c>
      <c r="AZ93" s="930">
        <f t="shared" si="47"/>
        <v>6.5063880104679086</v>
      </c>
      <c r="BA93" s="4"/>
      <c r="BB93" s="1055">
        <f t="shared" si="81"/>
        <v>412.39059034270036</v>
      </c>
      <c r="BC93" s="1056">
        <f t="shared" si="82"/>
        <v>288.66564064374597</v>
      </c>
      <c r="BD93" s="1082">
        <f t="shared" si="90"/>
        <v>6.5063880104679086</v>
      </c>
      <c r="BE93" s="1056">
        <f t="shared" si="54"/>
        <v>707.56261899691424</v>
      </c>
      <c r="BF93" s="167">
        <v>0</v>
      </c>
      <c r="BG93" s="1075">
        <f t="shared" si="83"/>
        <v>707.56261899691424</v>
      </c>
      <c r="BI93" s="1055">
        <f t="shared" si="84"/>
        <v>412.39059034270036</v>
      </c>
      <c r="BJ93" s="1056">
        <f t="shared" si="85"/>
        <v>288.66564064374597</v>
      </c>
      <c r="BK93" s="1082">
        <f t="shared" si="86"/>
        <v>6.5063880104679086</v>
      </c>
      <c r="BL93" s="1056">
        <f t="shared" si="55"/>
        <v>707.56261899691424</v>
      </c>
      <c r="BM93" s="167">
        <v>0</v>
      </c>
      <c r="BN93" s="1075">
        <f t="shared" si="87"/>
        <v>707.56261899691424</v>
      </c>
    </row>
    <row r="94" spans="1:73">
      <c r="A94" s="927">
        <f>'Input data'!A124</f>
        <v>2024</v>
      </c>
      <c r="B94" s="824">
        <f>'Input data'!B124</f>
        <v>62.087792487153699</v>
      </c>
      <c r="C94" s="824">
        <f>'Recycling - Case 3'!AK104/B94</f>
        <v>341.44831989252719</v>
      </c>
      <c r="D94" s="825">
        <f>'Recycling - Case 3'!AM104</f>
        <v>0.23129370223762682</v>
      </c>
      <c r="E94" s="826">
        <f>'Recycling - Case 3'!BE104</f>
        <v>0.18986963377374966</v>
      </c>
      <c r="F94" s="826">
        <f>'Recycling - Case 3'!BF104</f>
        <v>0.24080606231296661</v>
      </c>
      <c r="G94" s="826">
        <f>'Recycling - Case 3'!BG104</f>
        <v>6.7651152559246586E-2</v>
      </c>
      <c r="H94" s="826">
        <f>'Recycling - Case 3'!BH104</f>
        <v>0</v>
      </c>
      <c r="I94" s="826">
        <f>'Recycling - Case 3'!BI104</f>
        <v>0</v>
      </c>
      <c r="J94" s="826">
        <f>'Recycling - Case 3'!BJ104</f>
        <v>0</v>
      </c>
      <c r="K94" s="826">
        <f>'Recycling - Case 3'!BK104</f>
        <v>0.50167315135403667</v>
      </c>
      <c r="L94" s="827">
        <f t="shared" si="89"/>
        <v>0.99999999999999956</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832">
        <f t="shared" si="57"/>
        <v>222.56227381228351</v>
      </c>
      <c r="R94" s="832">
        <f t="shared" si="58"/>
        <v>222.56227381228351</v>
      </c>
      <c r="S94" s="835">
        <f t="shared" si="59"/>
        <v>0</v>
      </c>
      <c r="T94" s="832">
        <f t="shared" si="60"/>
        <v>11918.565625182429</v>
      </c>
      <c r="U94" s="832">
        <f t="shared" si="61"/>
        <v>599.66691504239884</v>
      </c>
      <c r="V94" s="839">
        <f t="shared" si="62"/>
        <v>399.77794336159923</v>
      </c>
      <c r="W94" s="4"/>
      <c r="X94" s="852">
        <f>'Recycling - Case 3'!AM144</f>
        <v>0</v>
      </c>
      <c r="Y94" s="853">
        <f>Parameters!S264</f>
        <v>0.71500000000000008</v>
      </c>
      <c r="Z94" s="853">
        <f t="shared" si="63"/>
        <v>0.4</v>
      </c>
      <c r="AA94" s="854">
        <f t="shared" si="64"/>
        <v>0</v>
      </c>
      <c r="AB94" s="854">
        <f t="shared" si="65"/>
        <v>0</v>
      </c>
      <c r="AC94" s="855">
        <f t="shared" si="66"/>
        <v>0</v>
      </c>
      <c r="AD94" s="854">
        <f t="shared" si="67"/>
        <v>8033.3931970807043</v>
      </c>
      <c r="AE94" s="854">
        <f t="shared" si="68"/>
        <v>411.88087683402063</v>
      </c>
      <c r="AF94" s="856">
        <f t="shared" si="69"/>
        <v>274.58725122268044</v>
      </c>
      <c r="AG94" s="4"/>
      <c r="AH94" s="852">
        <f>'Recycling - Case 3'!AM184</f>
        <v>0</v>
      </c>
      <c r="AI94" s="853">
        <f>Parameters!S264</f>
        <v>0.71500000000000008</v>
      </c>
      <c r="AJ94" s="853">
        <f t="shared" si="70"/>
        <v>0.4</v>
      </c>
      <c r="AK94" s="854">
        <f t="shared" si="71"/>
        <v>0</v>
      </c>
      <c r="AL94" s="854">
        <f t="shared" si="72"/>
        <v>0</v>
      </c>
      <c r="AM94" s="855">
        <f t="shared" si="73"/>
        <v>0</v>
      </c>
      <c r="AN94" s="854">
        <f t="shared" si="74"/>
        <v>8033.3931970807043</v>
      </c>
      <c r="AO94" s="854">
        <f t="shared" si="75"/>
        <v>411.88087683402063</v>
      </c>
      <c r="AP94" s="856">
        <f t="shared" si="76"/>
        <v>274.58725122268044</v>
      </c>
      <c r="AQ94" s="4"/>
      <c r="AR94" s="850">
        <f>'Recycling - Case 3'!G104</f>
        <v>632.60413388193626</v>
      </c>
      <c r="AS94" s="846">
        <v>1</v>
      </c>
      <c r="AT94" s="846">
        <f t="shared" si="77"/>
        <v>0.05</v>
      </c>
      <c r="AU94" s="832">
        <f t="shared" si="78"/>
        <v>15.815103347048407</v>
      </c>
      <c r="AV94" s="832">
        <f t="shared" si="79"/>
        <v>15.815103347048407</v>
      </c>
      <c r="AW94" s="835">
        <f t="shared" si="80"/>
        <v>0</v>
      </c>
      <c r="AX94" s="832">
        <f t="shared" si="44"/>
        <v>178.90358246168961</v>
      </c>
      <c r="AY94" s="832">
        <f t="shared" si="49"/>
        <v>10.08482832978442</v>
      </c>
      <c r="AZ94" s="930">
        <f t="shared" si="47"/>
        <v>6.7232188865229467</v>
      </c>
      <c r="BA94" s="4"/>
      <c r="BB94" s="1055">
        <f t="shared" si="81"/>
        <v>399.77794336159923</v>
      </c>
      <c r="BC94" s="1056">
        <f t="shared" si="82"/>
        <v>274.58725122268044</v>
      </c>
      <c r="BD94" s="1082">
        <f t="shared" si="90"/>
        <v>6.7232188865229467</v>
      </c>
      <c r="BE94" s="1056">
        <f t="shared" si="54"/>
        <v>681.08841347080261</v>
      </c>
      <c r="BF94" s="167">
        <v>0</v>
      </c>
      <c r="BG94" s="1075">
        <f t="shared" si="83"/>
        <v>681.08841347080261</v>
      </c>
      <c r="BI94" s="1055">
        <f t="shared" si="84"/>
        <v>399.77794336159923</v>
      </c>
      <c r="BJ94" s="1056">
        <f t="shared" si="85"/>
        <v>274.58725122268044</v>
      </c>
      <c r="BK94" s="1082">
        <f t="shared" si="86"/>
        <v>6.7232188865229467</v>
      </c>
      <c r="BL94" s="1056">
        <f t="shared" si="55"/>
        <v>681.08841347080261</v>
      </c>
      <c r="BM94" s="167">
        <v>0</v>
      </c>
      <c r="BN94" s="1075">
        <f t="shared" si="87"/>
        <v>681.08841347080261</v>
      </c>
    </row>
    <row r="95" spans="1:73">
      <c r="A95" s="927">
        <f>'Input data'!A125</f>
        <v>2025</v>
      </c>
      <c r="B95" s="824">
        <f>'Input data'!B125</f>
        <v>62.802682000000026</v>
      </c>
      <c r="C95" s="824">
        <f>'Recycling - Case 3'!AK105/B95</f>
        <v>333.72523472030412</v>
      </c>
      <c r="D95" s="825">
        <f>'Recycling - Case 3'!AM105</f>
        <v>0.21800123256124831</v>
      </c>
      <c r="E95" s="826">
        <f>'Recycling - Case 3'!BE105</f>
        <v>0.19343040664681491</v>
      </c>
      <c r="F95" s="826">
        <f>'Recycling - Case 3'!BF105</f>
        <v>0.24532208563545013</v>
      </c>
      <c r="G95" s="826">
        <f>'Recycling - Case 3'!BG105</f>
        <v>6.5673591883493782E-2</v>
      </c>
      <c r="H95" s="826">
        <f>'Recycling - Case 3'!BH105</f>
        <v>0</v>
      </c>
      <c r="I95" s="826">
        <f>'Recycling - Case 3'!BI105</f>
        <v>0</v>
      </c>
      <c r="J95" s="826">
        <f>'Recycling - Case 3'!BJ105</f>
        <v>0</v>
      </c>
      <c r="K95" s="826">
        <f>'Recycling - Case 3'!BK105</f>
        <v>0.49557391583424132</v>
      </c>
      <c r="L95" s="827">
        <f t="shared" si="89"/>
        <v>1.0000000000000002</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832">
        <f t="shared" si="57"/>
        <v>213.6311708022838</v>
      </c>
      <c r="R95" s="832">
        <f t="shared" si="58"/>
        <v>213.6311708022838</v>
      </c>
      <c r="S95" s="835">
        <f t="shared" si="59"/>
        <v>0</v>
      </c>
      <c r="T95" s="832">
        <f t="shared" si="60"/>
        <v>11550.921491318559</v>
      </c>
      <c r="U95" s="832">
        <f t="shared" si="61"/>
        <v>581.27530466615428</v>
      </c>
      <c r="V95" s="839">
        <f t="shared" si="62"/>
        <v>387.51686977743617</v>
      </c>
      <c r="W95" s="4"/>
      <c r="X95" s="852">
        <f>'Recycling - Case 3'!AM145</f>
        <v>0</v>
      </c>
      <c r="Y95" s="853">
        <f>Parameters!S265</f>
        <v>0.71500000000000008</v>
      </c>
      <c r="Z95" s="853">
        <f t="shared" si="63"/>
        <v>0.4</v>
      </c>
      <c r="AA95" s="854">
        <f t="shared" si="64"/>
        <v>0</v>
      </c>
      <c r="AB95" s="854">
        <f t="shared" si="65"/>
        <v>0</v>
      </c>
      <c r="AC95" s="855">
        <f t="shared" si="66"/>
        <v>0</v>
      </c>
      <c r="AD95" s="854">
        <f t="shared" si="67"/>
        <v>7641.5999876470296</v>
      </c>
      <c r="AE95" s="854">
        <f t="shared" si="68"/>
        <v>391.79320943367492</v>
      </c>
      <c r="AF95" s="856">
        <f t="shared" si="69"/>
        <v>261.19547295578326</v>
      </c>
      <c r="AG95" s="4"/>
      <c r="AH95" s="852">
        <f>'Recycling - Case 3'!AM185</f>
        <v>0</v>
      </c>
      <c r="AI95" s="853">
        <f>Parameters!S265</f>
        <v>0.71500000000000008</v>
      </c>
      <c r="AJ95" s="853">
        <f t="shared" si="70"/>
        <v>0.4</v>
      </c>
      <c r="AK95" s="854">
        <f t="shared" si="71"/>
        <v>0</v>
      </c>
      <c r="AL95" s="854">
        <f t="shared" si="72"/>
        <v>0</v>
      </c>
      <c r="AM95" s="855">
        <f t="shared" si="73"/>
        <v>0</v>
      </c>
      <c r="AN95" s="854">
        <f t="shared" si="74"/>
        <v>7641.5999876470296</v>
      </c>
      <c r="AO95" s="854">
        <f t="shared" si="75"/>
        <v>391.79320943367492</v>
      </c>
      <c r="AP95" s="856">
        <f t="shared" si="76"/>
        <v>261.19547295578326</v>
      </c>
      <c r="AQ95" s="4"/>
      <c r="AR95" s="850">
        <f>'Recycling - Case 3'!G105</f>
        <v>651.77615985670707</v>
      </c>
      <c r="AS95" s="846">
        <v>1</v>
      </c>
      <c r="AT95" s="846">
        <f t="shared" si="77"/>
        <v>0.05</v>
      </c>
      <c r="AU95" s="832">
        <f t="shared" si="78"/>
        <v>16.294403996417678</v>
      </c>
      <c r="AV95" s="832">
        <f t="shared" si="79"/>
        <v>16.294403996417678</v>
      </c>
      <c r="AW95" s="835">
        <f t="shared" si="80"/>
        <v>0</v>
      </c>
      <c r="AX95" s="832">
        <f t="shared" si="44"/>
        <v>184.77945289000198</v>
      </c>
      <c r="AY95" s="832">
        <f t="shared" si="49"/>
        <v>10.418533568105316</v>
      </c>
      <c r="AZ95" s="930">
        <f t="shared" si="47"/>
        <v>6.9456890454035438</v>
      </c>
      <c r="BA95" s="4"/>
      <c r="BB95" s="1055">
        <f t="shared" si="81"/>
        <v>387.51686977743617</v>
      </c>
      <c r="BC95" s="1056">
        <f t="shared" si="82"/>
        <v>261.19547295578326</v>
      </c>
      <c r="BD95" s="1082">
        <f t="shared" si="90"/>
        <v>6.9456890454035438</v>
      </c>
      <c r="BE95" s="1056">
        <f t="shared" si="54"/>
        <v>655.65803177862301</v>
      </c>
      <c r="BF95" s="167">
        <v>0</v>
      </c>
      <c r="BG95" s="1075">
        <f t="shared" si="83"/>
        <v>655.65803177862301</v>
      </c>
      <c r="BI95" s="1055">
        <f t="shared" si="84"/>
        <v>387.51686977743617</v>
      </c>
      <c r="BJ95" s="1056">
        <f t="shared" si="85"/>
        <v>261.19547295578326</v>
      </c>
      <c r="BK95" s="1082">
        <f t="shared" si="86"/>
        <v>6.9456890454035438</v>
      </c>
      <c r="BL95" s="1056">
        <f t="shared" si="55"/>
        <v>655.65803177862301</v>
      </c>
      <c r="BM95" s="167">
        <v>0</v>
      </c>
      <c r="BN95" s="1075">
        <f t="shared" si="87"/>
        <v>655.65803177862301</v>
      </c>
    </row>
    <row r="96" spans="1:73">
      <c r="A96" s="927">
        <f>'Input data'!A126</f>
        <v>2026</v>
      </c>
      <c r="B96" s="824">
        <f>'Input data'!B126</f>
        <v>63.421065342005143</v>
      </c>
      <c r="C96" s="824">
        <f>'Recycling - Case 3'!AK106/B96</f>
        <v>326.49534137552507</v>
      </c>
      <c r="D96" s="825">
        <f>'Recycling - Case 3'!AM106</f>
        <v>0.20451040324022446</v>
      </c>
      <c r="E96" s="826">
        <f>'Recycling - Case 3'!BE106</f>
        <v>0.19690110218745824</v>
      </c>
      <c r="F96" s="826">
        <f>'Recycling - Case 3'!BF106</f>
        <v>0.24972386653120623</v>
      </c>
      <c r="G96" s="826">
        <f>'Recycling - Case 3'!BG106</f>
        <v>6.3700184645464952E-2</v>
      </c>
      <c r="H96" s="826">
        <f>'Recycling - Case 3'!BH106</f>
        <v>0</v>
      </c>
      <c r="I96" s="826">
        <f>'Recycling - Case 3'!BI106</f>
        <v>0</v>
      </c>
      <c r="J96" s="826">
        <f>'Recycling - Case 3'!BJ106</f>
        <v>0</v>
      </c>
      <c r="K96" s="826">
        <f>'Recycling - Case 3'!BK106</f>
        <v>0.48967484663587058</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832">
        <f t="shared" si="57"/>
        <v>203.77584751812222</v>
      </c>
      <c r="R96" s="832">
        <f t="shared" si="58"/>
        <v>203.77584751812222</v>
      </c>
      <c r="S96" s="835">
        <f t="shared" si="59"/>
        <v>0</v>
      </c>
      <c r="T96" s="832">
        <f t="shared" si="60"/>
        <v>11191.352250158003</v>
      </c>
      <c r="U96" s="832">
        <f t="shared" si="61"/>
        <v>563.3450886786768</v>
      </c>
      <c r="V96" s="839">
        <f t="shared" si="62"/>
        <v>375.56339245245118</v>
      </c>
      <c r="W96" s="4"/>
      <c r="X96" s="852">
        <f>'Recycling - Case 3'!AM146</f>
        <v>0</v>
      </c>
      <c r="Y96" s="853">
        <f>Parameters!S266</f>
        <v>0.71500000000000008</v>
      </c>
      <c r="Z96" s="853">
        <f t="shared" si="63"/>
        <v>0.4</v>
      </c>
      <c r="AA96" s="854">
        <f t="shared" si="64"/>
        <v>0</v>
      </c>
      <c r="AB96" s="854">
        <f t="shared" si="65"/>
        <v>0</v>
      </c>
      <c r="AC96" s="855">
        <f t="shared" si="66"/>
        <v>0</v>
      </c>
      <c r="AD96" s="854">
        <f t="shared" si="67"/>
        <v>7268.9147585141473</v>
      </c>
      <c r="AE96" s="854">
        <f t="shared" si="68"/>
        <v>372.68522913288228</v>
      </c>
      <c r="AF96" s="856">
        <f t="shared" si="69"/>
        <v>248.45681942192152</v>
      </c>
      <c r="AG96" s="4"/>
      <c r="AH96" s="852">
        <f>'Recycling - Case 3'!AM186</f>
        <v>0</v>
      </c>
      <c r="AI96" s="853">
        <f>Parameters!S266</f>
        <v>0.71500000000000008</v>
      </c>
      <c r="AJ96" s="853">
        <f t="shared" si="70"/>
        <v>0.4</v>
      </c>
      <c r="AK96" s="854">
        <f t="shared" si="71"/>
        <v>0</v>
      </c>
      <c r="AL96" s="854">
        <f t="shared" si="72"/>
        <v>0</v>
      </c>
      <c r="AM96" s="855">
        <f t="shared" si="73"/>
        <v>0</v>
      </c>
      <c r="AN96" s="854">
        <f t="shared" si="74"/>
        <v>7268.9147585141473</v>
      </c>
      <c r="AO96" s="854">
        <f t="shared" si="75"/>
        <v>372.68522913288228</v>
      </c>
      <c r="AP96" s="856">
        <f t="shared" si="76"/>
        <v>248.45681942192152</v>
      </c>
      <c r="AQ96" s="4"/>
      <c r="AR96" s="850">
        <f>'Recycling - Case 3'!G106</f>
        <v>670.19900886595155</v>
      </c>
      <c r="AS96" s="846">
        <v>1</v>
      </c>
      <c r="AT96" s="846">
        <f t="shared" si="77"/>
        <v>0.05</v>
      </c>
      <c r="AU96" s="832">
        <f t="shared" si="78"/>
        <v>16.754975221648788</v>
      </c>
      <c r="AV96" s="832">
        <f t="shared" si="79"/>
        <v>16.754975221648788</v>
      </c>
      <c r="AW96" s="835">
        <f t="shared" si="80"/>
        <v>0</v>
      </c>
      <c r="AX96" s="832">
        <f t="shared" si="44"/>
        <v>190.77371048855414</v>
      </c>
      <c r="AY96" s="832">
        <f t="shared" si="49"/>
        <v>10.760717623096607</v>
      </c>
      <c r="AZ96" s="930">
        <f t="shared" si="47"/>
        <v>7.1738117487310715</v>
      </c>
      <c r="BA96" s="4"/>
      <c r="BB96" s="1055">
        <f t="shared" si="81"/>
        <v>375.56339245245118</v>
      </c>
      <c r="BC96" s="1056">
        <f t="shared" si="82"/>
        <v>248.45681942192152</v>
      </c>
      <c r="BD96" s="1082">
        <f t="shared" si="90"/>
        <v>7.1738117487310715</v>
      </c>
      <c r="BE96" s="1056">
        <f t="shared" si="54"/>
        <v>631.19402362310382</v>
      </c>
      <c r="BF96" s="167">
        <v>0</v>
      </c>
      <c r="BG96" s="1075">
        <f t="shared" si="83"/>
        <v>631.19402362310382</v>
      </c>
      <c r="BI96" s="1055">
        <f t="shared" si="84"/>
        <v>375.56339245245118</v>
      </c>
      <c r="BJ96" s="1056">
        <f t="shared" si="85"/>
        <v>248.45681942192152</v>
      </c>
      <c r="BK96" s="1082">
        <f t="shared" si="86"/>
        <v>7.1738117487310715</v>
      </c>
      <c r="BL96" s="1056">
        <f t="shared" si="55"/>
        <v>631.19402362310382</v>
      </c>
      <c r="BM96" s="167">
        <v>0</v>
      </c>
      <c r="BN96" s="1075">
        <f t="shared" si="87"/>
        <v>631.19402362310382</v>
      </c>
    </row>
    <row r="97" spans="1:66">
      <c r="A97" s="927">
        <f>'Input data'!A127</f>
        <v>2027</v>
      </c>
      <c r="B97" s="824">
        <f>'Input data'!B127</f>
        <v>64.045537563425796</v>
      </c>
      <c r="C97" s="824">
        <f>'Recycling - Case 3'!AK107/B97</f>
        <v>319.38789989359691</v>
      </c>
      <c r="D97" s="825">
        <f>'Recycling - Case 3'!AM107</f>
        <v>0.19067907685240901</v>
      </c>
      <c r="E97" s="826">
        <f>'Recycling - Case 3'!BE107</f>
        <v>0.20043273956918531</v>
      </c>
      <c r="F97" s="826">
        <f>'Recycling - Case 3'!BF107</f>
        <v>0.25420293816845591</v>
      </c>
      <c r="G97" s="826">
        <f>'Recycling - Case 3'!BG107</f>
        <v>6.1689515064928709E-2</v>
      </c>
      <c r="H97" s="826">
        <f>'Recycling - Case 3'!BH107</f>
        <v>0</v>
      </c>
      <c r="I97" s="826">
        <f>'Recycling - Case 3'!BI107</f>
        <v>0</v>
      </c>
      <c r="J97" s="826">
        <f>'Recycling - Case 3'!BJ107</f>
        <v>0</v>
      </c>
      <c r="K97" s="826">
        <f>'Recycling - Case 3'!BK107</f>
        <v>0.48367480719743011</v>
      </c>
      <c r="L97" s="827">
        <f t="shared" si="89"/>
        <v>1</v>
      </c>
      <c r="M97" s="4"/>
      <c r="N97" s="838">
        <f t="shared" si="56"/>
        <v>3900.4110186862781</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832">
        <f t="shared" si="57"/>
        <v>193.07576144773344</v>
      </c>
      <c r="R97" s="832">
        <f t="shared" si="58"/>
        <v>193.07576144773344</v>
      </c>
      <c r="S97" s="835">
        <f t="shared" si="59"/>
        <v>0</v>
      </c>
      <c r="T97" s="832">
        <f t="shared" si="60"/>
        <v>10838.619321750301</v>
      </c>
      <c r="U97" s="832">
        <f t="shared" si="61"/>
        <v>545.80868985543498</v>
      </c>
      <c r="V97" s="839">
        <f t="shared" si="62"/>
        <v>363.87245990362334</v>
      </c>
      <c r="W97" s="4"/>
      <c r="X97" s="852">
        <f>'Recycling - Case 3'!AM147</f>
        <v>0</v>
      </c>
      <c r="Y97" s="853">
        <f>Parameters!S267</f>
        <v>0.71500000000000008</v>
      </c>
      <c r="Z97" s="853">
        <f t="shared" si="63"/>
        <v>0.4</v>
      </c>
      <c r="AA97" s="854">
        <f t="shared" si="64"/>
        <v>0</v>
      </c>
      <c r="AB97" s="854">
        <f t="shared" si="65"/>
        <v>0</v>
      </c>
      <c r="AC97" s="855">
        <f t="shared" si="66"/>
        <v>0</v>
      </c>
      <c r="AD97" s="854">
        <f t="shared" si="67"/>
        <v>6914.4056024861593</v>
      </c>
      <c r="AE97" s="854">
        <f t="shared" si="68"/>
        <v>354.50915602798835</v>
      </c>
      <c r="AF97" s="856">
        <f t="shared" si="69"/>
        <v>236.33943735199225</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6914.4056024861593</v>
      </c>
      <c r="AO97" s="854">
        <f t="shared" si="75"/>
        <v>354.50915602798835</v>
      </c>
      <c r="AP97" s="856">
        <f t="shared" si="76"/>
        <v>236.33943735199225</v>
      </c>
      <c r="AQ97" s="4"/>
      <c r="AR97" s="850">
        <f>'Recycling - Case 3'!G107</f>
        <v>688.92146577149424</v>
      </c>
      <c r="AS97" s="846">
        <v>1</v>
      </c>
      <c r="AT97" s="846">
        <f t="shared" si="77"/>
        <v>0.05</v>
      </c>
      <c r="AU97" s="832">
        <f t="shared" si="78"/>
        <v>17.223036644287358</v>
      </c>
      <c r="AV97" s="832">
        <f t="shared" si="79"/>
        <v>17.223036644287358</v>
      </c>
      <c r="AW97" s="835">
        <f t="shared" si="80"/>
        <v>0</v>
      </c>
      <c r="AX97" s="832">
        <f t="shared" si="44"/>
        <v>196.88695112267706</v>
      </c>
      <c r="AY97" s="832">
        <f t="shared" si="49"/>
        <v>11.109796010164454</v>
      </c>
      <c r="AZ97" s="930">
        <f t="shared" si="47"/>
        <v>7.406530673442969</v>
      </c>
      <c r="BA97" s="4"/>
      <c r="BB97" s="1055">
        <f t="shared" si="81"/>
        <v>363.87245990362334</v>
      </c>
      <c r="BC97" s="1056">
        <f t="shared" si="82"/>
        <v>236.33943735199225</v>
      </c>
      <c r="BD97" s="1082">
        <f t="shared" si="90"/>
        <v>7.406530673442969</v>
      </c>
      <c r="BE97" s="1056">
        <f t="shared" si="54"/>
        <v>607.6184279290585</v>
      </c>
      <c r="BF97" s="167">
        <v>0</v>
      </c>
      <c r="BG97" s="1075">
        <f t="shared" si="83"/>
        <v>607.6184279290585</v>
      </c>
      <c r="BI97" s="1055">
        <f t="shared" si="84"/>
        <v>363.87245990362334</v>
      </c>
      <c r="BJ97" s="1056">
        <f t="shared" si="85"/>
        <v>236.33943735199225</v>
      </c>
      <c r="BK97" s="1082">
        <f t="shared" si="86"/>
        <v>7.406530673442969</v>
      </c>
      <c r="BL97" s="1056">
        <f t="shared" si="55"/>
        <v>607.6184279290585</v>
      </c>
      <c r="BM97" s="167">
        <v>0</v>
      </c>
      <c r="BN97" s="1075">
        <f t="shared" si="87"/>
        <v>607.6184279290585</v>
      </c>
    </row>
    <row r="98" spans="1:66">
      <c r="A98" s="927">
        <f>'Input data'!A128</f>
        <v>2028</v>
      </c>
      <c r="B98" s="824">
        <f>'Input data'!B128</f>
        <v>64.676158618096451</v>
      </c>
      <c r="C98" s="824">
        <f>'Recycling - Case 3'!AK108/B98</f>
        <v>312.40049312460883</v>
      </c>
      <c r="D98" s="825">
        <f>'Recycling - Case 3'!AM108</f>
        <v>0.17649661494683172</v>
      </c>
      <c r="E98" s="826">
        <f>'Recycling - Case 3'!BE108</f>
        <v>0.20402762314460737</v>
      </c>
      <c r="F98" s="826">
        <f>'Recycling - Case 3'!BF108</f>
        <v>0.25876222308972174</v>
      </c>
      <c r="G98" s="826">
        <f>'Recycling - Case 3'!BG108</f>
        <v>5.9640219057551069E-2</v>
      </c>
      <c r="H98" s="826">
        <f>'Recycling - Case 3'!BH108</f>
        <v>0</v>
      </c>
      <c r="I98" s="826">
        <f>'Recycling - Case 3'!BI108</f>
        <v>0</v>
      </c>
      <c r="J98" s="826">
        <f>'Recycling - Case 3'!BJ108</f>
        <v>0</v>
      </c>
      <c r="K98" s="826">
        <f>'Recycling - Case 3'!BK108</f>
        <v>0.4775699347081197</v>
      </c>
      <c r="L98" s="827">
        <f t="shared" si="89"/>
        <v>0.99999999999999989</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832">
        <f t="shared" si="57"/>
        <v>181.51534803676438</v>
      </c>
      <c r="R98" s="832">
        <f t="shared" si="58"/>
        <v>181.51534803676438</v>
      </c>
      <c r="S98" s="835">
        <f t="shared" si="59"/>
        <v>0</v>
      </c>
      <c r="T98" s="832">
        <f t="shared" si="60"/>
        <v>10491.528967847622</v>
      </c>
      <c r="U98" s="832">
        <f t="shared" si="61"/>
        <v>528.60570193944284</v>
      </c>
      <c r="V98" s="839">
        <f t="shared" si="62"/>
        <v>352.40380129296187</v>
      </c>
      <c r="W98" s="4"/>
      <c r="X98" s="852">
        <f>'Recycling - Case 3'!AM148</f>
        <v>0</v>
      </c>
      <c r="Y98" s="853">
        <f>Parameters!S268</f>
        <v>0.71500000000000008</v>
      </c>
      <c r="Z98" s="853">
        <f t="shared" si="63"/>
        <v>0.4</v>
      </c>
      <c r="AA98" s="854">
        <f t="shared" si="64"/>
        <v>0</v>
      </c>
      <c r="AB98" s="854">
        <f t="shared" si="65"/>
        <v>0</v>
      </c>
      <c r="AC98" s="855">
        <f t="shared" si="66"/>
        <v>0</v>
      </c>
      <c r="AD98" s="854">
        <f t="shared" si="67"/>
        <v>6577.186062017422</v>
      </c>
      <c r="AE98" s="854">
        <f t="shared" si="68"/>
        <v>337.21954046873725</v>
      </c>
      <c r="AF98" s="856">
        <f t="shared" si="69"/>
        <v>224.81302697915817</v>
      </c>
      <c r="AG98" s="4"/>
      <c r="AH98" s="852">
        <f>'Recycling - Case 3'!AM188</f>
        <v>0</v>
      </c>
      <c r="AI98" s="853">
        <f>Parameters!S268</f>
        <v>0.71500000000000008</v>
      </c>
      <c r="AJ98" s="853">
        <f t="shared" si="70"/>
        <v>0.4</v>
      </c>
      <c r="AK98" s="854">
        <f t="shared" si="71"/>
        <v>0</v>
      </c>
      <c r="AL98" s="854">
        <f t="shared" si="72"/>
        <v>0</v>
      </c>
      <c r="AM98" s="855">
        <f t="shared" si="73"/>
        <v>0</v>
      </c>
      <c r="AN98" s="854">
        <f t="shared" si="74"/>
        <v>6577.186062017422</v>
      </c>
      <c r="AO98" s="854">
        <f t="shared" si="75"/>
        <v>337.21954046873725</v>
      </c>
      <c r="AP98" s="856">
        <f t="shared" si="76"/>
        <v>224.81302697915817</v>
      </c>
      <c r="AQ98" s="4"/>
      <c r="AR98" s="850">
        <f>'Recycling - Case 3'!G108</f>
        <v>707.94764457850295</v>
      </c>
      <c r="AS98" s="846">
        <v>1</v>
      </c>
      <c r="AT98" s="846">
        <f t="shared" si="77"/>
        <v>0.05</v>
      </c>
      <c r="AU98" s="832">
        <f t="shared" si="78"/>
        <v>17.698691114462573</v>
      </c>
      <c r="AV98" s="832">
        <f t="shared" si="79"/>
        <v>17.698691114462573</v>
      </c>
      <c r="AW98" s="835">
        <f t="shared" si="80"/>
        <v>0</v>
      </c>
      <c r="AX98" s="832">
        <f t="shared" si="44"/>
        <v>203.11983880733533</v>
      </c>
      <c r="AY98" s="832">
        <f t="shared" si="49"/>
        <v>11.465803429804323</v>
      </c>
      <c r="AZ98" s="930">
        <f t="shared" si="47"/>
        <v>7.6438689532028823</v>
      </c>
      <c r="BA98" s="4"/>
      <c r="BB98" s="1055">
        <f t="shared" si="81"/>
        <v>352.40380129296187</v>
      </c>
      <c r="BC98" s="1056">
        <f t="shared" si="82"/>
        <v>224.81302697915817</v>
      </c>
      <c r="BD98" s="1082">
        <f t="shared" si="90"/>
        <v>7.6438689532028823</v>
      </c>
      <c r="BE98" s="1056">
        <f t="shared" si="54"/>
        <v>584.86069722532284</v>
      </c>
      <c r="BF98" s="167">
        <v>0</v>
      </c>
      <c r="BG98" s="1075">
        <f t="shared" si="83"/>
        <v>584.86069722532284</v>
      </c>
      <c r="BI98" s="1055">
        <f t="shared" si="84"/>
        <v>352.40380129296187</v>
      </c>
      <c r="BJ98" s="1056">
        <f t="shared" si="85"/>
        <v>224.81302697915817</v>
      </c>
      <c r="BK98" s="1082">
        <f t="shared" si="86"/>
        <v>7.6438689532028823</v>
      </c>
      <c r="BL98" s="1056">
        <f t="shared" si="55"/>
        <v>584.86069722532284</v>
      </c>
      <c r="BM98" s="167">
        <v>0</v>
      </c>
      <c r="BN98" s="1075">
        <f t="shared" si="87"/>
        <v>584.86069722532284</v>
      </c>
    </row>
    <row r="99" spans="1:66">
      <c r="A99" s="927">
        <f>'Input data'!A129</f>
        <v>2029</v>
      </c>
      <c r="B99" s="824">
        <f>'Input data'!B129</f>
        <v>65.31298905018393</v>
      </c>
      <c r="C99" s="824">
        <f>'Recycling - Case 3'!AK109/B99</f>
        <v>305.53070568103118</v>
      </c>
      <c r="D99" s="825">
        <f>'Recycling - Case 3'!AM109</f>
        <v>0.161951847001268</v>
      </c>
      <c r="E99" s="826">
        <f>'Recycling - Case 3'!BE109</f>
        <v>0.20768815931261841</v>
      </c>
      <c r="F99" s="826">
        <f>'Recycling - Case 3'!BF109</f>
        <v>0.26340477325982065</v>
      </c>
      <c r="G99" s="826">
        <f>'Recycling - Case 3'!BG109</f>
        <v>5.7550871499356622E-2</v>
      </c>
      <c r="H99" s="826">
        <f>'Recycling - Case 3'!BH109</f>
        <v>0</v>
      </c>
      <c r="I99" s="826">
        <f>'Recycling - Case 3'!BI109</f>
        <v>0</v>
      </c>
      <c r="J99" s="826">
        <f>'Recycling - Case 3'!BJ109</f>
        <v>0</v>
      </c>
      <c r="K99" s="826">
        <f>'Recycling - Case 3'!BK109</f>
        <v>0.47135619592820438</v>
      </c>
      <c r="L99" s="827">
        <f t="shared" si="89"/>
        <v>1</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832">
        <f t="shared" si="57"/>
        <v>169.07847057674107</v>
      </c>
      <c r="R99" s="832">
        <f t="shared" si="58"/>
        <v>169.07847057674107</v>
      </c>
      <c r="S99" s="835">
        <f t="shared" si="59"/>
        <v>0</v>
      </c>
      <c r="T99" s="832">
        <f t="shared" si="60"/>
        <v>10148.929532795006</v>
      </c>
      <c r="U99" s="832">
        <f t="shared" si="61"/>
        <v>511.67790562935841</v>
      </c>
      <c r="V99" s="839">
        <f t="shared" si="62"/>
        <v>341.11860375290559</v>
      </c>
      <c r="W99" s="4"/>
      <c r="X99" s="852">
        <f>'Recycling - Case 3'!AM149</f>
        <v>0</v>
      </c>
      <c r="Y99" s="853">
        <f>Parameters!S269</f>
        <v>0.71500000000000008</v>
      </c>
      <c r="Z99" s="853">
        <f t="shared" si="63"/>
        <v>0.4</v>
      </c>
      <c r="AA99" s="854">
        <f t="shared" si="64"/>
        <v>0</v>
      </c>
      <c r="AB99" s="854">
        <f t="shared" si="65"/>
        <v>0</v>
      </c>
      <c r="AC99" s="855">
        <f t="shared" si="66"/>
        <v>0</v>
      </c>
      <c r="AD99" s="854">
        <f t="shared" si="67"/>
        <v>6256.4129126069502</v>
      </c>
      <c r="AE99" s="854">
        <f t="shared" si="68"/>
        <v>320.77314941047217</v>
      </c>
      <c r="AF99" s="856">
        <f t="shared" si="69"/>
        <v>213.84876627364812</v>
      </c>
      <c r="AG99" s="4"/>
      <c r="AH99" s="852">
        <f>'Recycling - Case 3'!AM189</f>
        <v>0</v>
      </c>
      <c r="AI99" s="853">
        <f>Parameters!S269</f>
        <v>0.71500000000000008</v>
      </c>
      <c r="AJ99" s="853">
        <f t="shared" si="70"/>
        <v>0.4</v>
      </c>
      <c r="AK99" s="854">
        <f t="shared" si="71"/>
        <v>0</v>
      </c>
      <c r="AL99" s="854">
        <f t="shared" si="72"/>
        <v>0</v>
      </c>
      <c r="AM99" s="855">
        <f t="shared" si="73"/>
        <v>0</v>
      </c>
      <c r="AN99" s="854">
        <f t="shared" si="74"/>
        <v>6256.4129126069502</v>
      </c>
      <c r="AO99" s="854">
        <f t="shared" si="75"/>
        <v>320.77314941047217</v>
      </c>
      <c r="AP99" s="856">
        <f t="shared" si="76"/>
        <v>213.84876627364812</v>
      </c>
      <c r="AQ99" s="4"/>
      <c r="AR99" s="850">
        <f>'Recycling - Case 3'!G109</f>
        <v>727.28171126107532</v>
      </c>
      <c r="AS99" s="846">
        <v>1</v>
      </c>
      <c r="AT99" s="846">
        <f t="shared" si="77"/>
        <v>0.05</v>
      </c>
      <c r="AU99" s="832">
        <f t="shared" si="78"/>
        <v>18.182042781526885</v>
      </c>
      <c r="AV99" s="832">
        <f t="shared" si="79"/>
        <v>18.182042781526885</v>
      </c>
      <c r="AW99" s="835">
        <f t="shared" si="80"/>
        <v>0</v>
      </c>
      <c r="AX99" s="832">
        <f t="shared" si="44"/>
        <v>209.47310303762484</v>
      </c>
      <c r="AY99" s="832">
        <f t="shared" si="49"/>
        <v>11.82877855123739</v>
      </c>
      <c r="AZ99" s="930">
        <f t="shared" si="47"/>
        <v>7.8858523674915935</v>
      </c>
      <c r="BA99" s="4"/>
      <c r="BB99" s="1055">
        <f t="shared" si="81"/>
        <v>341.11860375290559</v>
      </c>
      <c r="BC99" s="1056">
        <f t="shared" si="82"/>
        <v>213.84876627364812</v>
      </c>
      <c r="BD99" s="1082">
        <f t="shared" si="90"/>
        <v>7.8858523674915935</v>
      </c>
      <c r="BE99" s="1056">
        <f t="shared" si="54"/>
        <v>562.85322239404525</v>
      </c>
      <c r="BF99" s="167">
        <v>0</v>
      </c>
      <c r="BG99" s="1075">
        <f t="shared" si="83"/>
        <v>562.85322239404525</v>
      </c>
      <c r="BI99" s="1055">
        <f t="shared" si="84"/>
        <v>341.11860375290559</v>
      </c>
      <c r="BJ99" s="1056">
        <f t="shared" si="85"/>
        <v>213.84876627364812</v>
      </c>
      <c r="BK99" s="1082">
        <f t="shared" si="86"/>
        <v>7.8858523674915935</v>
      </c>
      <c r="BL99" s="1056">
        <f t="shared" si="55"/>
        <v>562.85322239404525</v>
      </c>
      <c r="BM99" s="167">
        <v>0</v>
      </c>
      <c r="BN99" s="1075">
        <f t="shared" si="87"/>
        <v>562.85322239404525</v>
      </c>
    </row>
    <row r="100" spans="1:66">
      <c r="A100" s="927">
        <f>'Input data'!A130</f>
        <v>2030</v>
      </c>
      <c r="B100" s="824">
        <f>'Input data'!B130</f>
        <v>65.956090000000003</v>
      </c>
      <c r="C100" s="824">
        <f>'Recycling - Case 3'!AK110/B100</f>
        <v>298.77612226712506</v>
      </c>
      <c r="D100" s="825">
        <f>'Recycling - Case 3'!AM110</f>
        <v>0.1470330241938301</v>
      </c>
      <c r="E100" s="826">
        <f>'Recycling - Case 3'!BE110</f>
        <v>0.21141686250550593</v>
      </c>
      <c r="F100" s="826">
        <f>'Recycling - Case 3'!BF110</f>
        <v>0.26813377765913904</v>
      </c>
      <c r="G100" s="826">
        <f>'Recycling - Case 3'!BG110</f>
        <v>5.541998265772928E-2</v>
      </c>
      <c r="H100" s="826">
        <f>'Recycling - Case 3'!BH110</f>
        <v>0</v>
      </c>
      <c r="I100" s="826">
        <f>'Recycling - Case 3'!BI110</f>
        <v>0</v>
      </c>
      <c r="J100" s="826">
        <f>'Recycling - Case 3'!BJ110</f>
        <v>0</v>
      </c>
      <c r="K100" s="826">
        <f>'Recycling - Case 3'!BK110</f>
        <v>0.46502937717762582</v>
      </c>
      <c r="L100" s="827">
        <f t="shared" si="89"/>
        <v>1</v>
      </c>
      <c r="M100" s="4"/>
      <c r="N100" s="838">
        <f t="shared" si="56"/>
        <v>2897.4481853098064</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832">
        <f t="shared" si="57"/>
        <v>155.74838373196658</v>
      </c>
      <c r="R100" s="832">
        <f t="shared" si="58"/>
        <v>155.74838373196658</v>
      </c>
      <c r="S100" s="835">
        <f t="shared" si="59"/>
        <v>0</v>
      </c>
      <c r="T100" s="832">
        <f t="shared" si="60"/>
        <v>9809.7087825108611</v>
      </c>
      <c r="U100" s="832">
        <f t="shared" si="61"/>
        <v>494.96913401611204</v>
      </c>
      <c r="V100" s="839">
        <f t="shared" si="62"/>
        <v>329.97942267740802</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5951.2840542979447</v>
      </c>
      <c r="AE100" s="854">
        <f t="shared" si="68"/>
        <v>305.12885830900501</v>
      </c>
      <c r="AF100" s="856">
        <f t="shared" si="69"/>
        <v>203.41923887267001</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5951.2840542979447</v>
      </c>
      <c r="AO100" s="854">
        <f t="shared" si="75"/>
        <v>305.12885830900501</v>
      </c>
      <c r="AP100" s="856">
        <f t="shared" si="76"/>
        <v>203.41923887267001</v>
      </c>
      <c r="AQ100" s="4"/>
      <c r="AR100" s="850">
        <f>'Recycling - Case 3'!G110</f>
        <v>746.92788438679418</v>
      </c>
      <c r="AS100" s="846">
        <v>1</v>
      </c>
      <c r="AT100" s="846">
        <f t="shared" si="77"/>
        <v>0.05</v>
      </c>
      <c r="AU100" s="832">
        <f t="shared" si="78"/>
        <v>18.673197109669854</v>
      </c>
      <c r="AV100" s="832">
        <f t="shared" si="79"/>
        <v>18.673197109669854</v>
      </c>
      <c r="AW100" s="835">
        <f t="shared" si="80"/>
        <v>0</v>
      </c>
      <c r="AX100" s="832">
        <f t="shared" si="44"/>
        <v>215.94753629034386</v>
      </c>
      <c r="AY100" s="832">
        <f t="shared" si="49"/>
        <v>12.198763856950809</v>
      </c>
      <c r="AZ100" s="930">
        <f t="shared" si="47"/>
        <v>8.1325092379672057</v>
      </c>
      <c r="BA100" s="4"/>
      <c r="BB100" s="1055">
        <f t="shared" si="81"/>
        <v>329.97942267740802</v>
      </c>
      <c r="BC100" s="1056">
        <f t="shared" si="82"/>
        <v>203.41923887267001</v>
      </c>
      <c r="BD100" s="1082">
        <f t="shared" si="90"/>
        <v>8.1325092379672057</v>
      </c>
      <c r="BE100" s="1056">
        <f t="shared" si="54"/>
        <v>541.53117078804519</v>
      </c>
      <c r="BF100" s="167">
        <v>0</v>
      </c>
      <c r="BG100" s="1075">
        <f t="shared" si="83"/>
        <v>541.53117078804519</v>
      </c>
      <c r="BI100" s="1055">
        <f t="shared" si="84"/>
        <v>329.97942267740802</v>
      </c>
      <c r="BJ100" s="1056">
        <f t="shared" si="85"/>
        <v>203.41923887267001</v>
      </c>
      <c r="BK100" s="1082">
        <f t="shared" si="86"/>
        <v>8.1325092379672057</v>
      </c>
      <c r="BL100" s="1056">
        <f t="shared" si="55"/>
        <v>541.53117078804519</v>
      </c>
      <c r="BM100" s="167">
        <v>0</v>
      </c>
      <c r="BN100" s="1075">
        <f t="shared" si="87"/>
        <v>541.53117078804519</v>
      </c>
    </row>
    <row r="101" spans="1:66">
      <c r="A101" s="927">
        <f>'Input data'!A131</f>
        <v>2031</v>
      </c>
      <c r="B101" s="824">
        <f>'Input data'!B131</f>
        <v>66.518977190687664</v>
      </c>
      <c r="C101" s="824">
        <f>'Recycling - Case 3'!AK111/B101</f>
        <v>290.33093279482745</v>
      </c>
      <c r="D101" s="825">
        <f>'Recycling - Case 3'!AM111</f>
        <v>0.1327184478933309</v>
      </c>
      <c r="E101" s="826">
        <f>'Recycling - Case 3'!BE111</f>
        <v>0.21211281030749607</v>
      </c>
      <c r="F101" s="826">
        <f>'Recycling - Case 3'!BF111</f>
        <v>0.26901642775142459</v>
      </c>
      <c r="G101" s="826">
        <f>'Recycling - Case 3'!BG111</f>
        <v>5.525188586546504E-2</v>
      </c>
      <c r="H101" s="826">
        <f>'Recycling - Case 3'!BH111</f>
        <v>0</v>
      </c>
      <c r="I101" s="826">
        <f>'Recycling - Case 3'!BI111</f>
        <v>0</v>
      </c>
      <c r="J101" s="826">
        <f>'Recycling - Case 3'!BJ111</f>
        <v>0</v>
      </c>
      <c r="K101" s="826">
        <f>'Recycling - Case 3'!BK111</f>
        <v>0.46361887607561419</v>
      </c>
      <c r="L101" s="827">
        <f t="shared" si="89"/>
        <v>1</v>
      </c>
      <c r="M101" s="4"/>
      <c r="N101" s="838">
        <f t="shared" si="56"/>
        <v>2563.1272408509826</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832">
        <f t="shared" si="57"/>
        <v>138.05126534208725</v>
      </c>
      <c r="R101" s="832">
        <f t="shared" si="58"/>
        <v>138.05126534208725</v>
      </c>
      <c r="S101" s="835">
        <f t="shared" si="59"/>
        <v>0</v>
      </c>
      <c r="T101" s="832">
        <f t="shared" si="60"/>
        <v>9469.3349050494926</v>
      </c>
      <c r="U101" s="832">
        <f t="shared" si="61"/>
        <v>478.42514280345472</v>
      </c>
      <c r="V101" s="839">
        <f t="shared" si="62"/>
        <v>318.95009520230315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5661.0365060101103</v>
      </c>
      <c r="AE101" s="854">
        <f t="shared" si="68"/>
        <v>290.24754828783472</v>
      </c>
      <c r="AF101" s="856">
        <f t="shared" si="69"/>
        <v>193.49836552522314</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5661.0365060101103</v>
      </c>
      <c r="AO101" s="854">
        <f t="shared" si="75"/>
        <v>290.24754828783472</v>
      </c>
      <c r="AP101" s="856">
        <f t="shared" si="76"/>
        <v>193.49836552522314</v>
      </c>
      <c r="AQ101" s="4"/>
      <c r="AR101" s="850">
        <f>'Recycling - Case 3'!G111</f>
        <v>753.30236987386229</v>
      </c>
      <c r="AS101" s="846">
        <v>1</v>
      </c>
      <c r="AT101" s="846">
        <f t="shared" si="77"/>
        <v>0.05</v>
      </c>
      <c r="AU101" s="832">
        <f t="shared" si="78"/>
        <v>18.832559246846557</v>
      </c>
      <c r="AV101" s="832">
        <f t="shared" si="79"/>
        <v>18.832559246846557</v>
      </c>
      <c r="AW101" s="835">
        <f t="shared" si="80"/>
        <v>0</v>
      </c>
      <c r="AX101" s="832">
        <f t="shared" si="44"/>
        <v>222.20429003998987</v>
      </c>
      <c r="AY101" s="832">
        <f t="shared" si="49"/>
        <v>12.57580549720055</v>
      </c>
      <c r="AZ101" s="930">
        <f t="shared" si="47"/>
        <v>8.3838703314670333</v>
      </c>
      <c r="BA101" s="4"/>
      <c r="BB101" s="1055">
        <f t="shared" si="81"/>
        <v>318.95009520230315</v>
      </c>
      <c r="BC101" s="1056">
        <f t="shared" si="82"/>
        <v>193.49836552522314</v>
      </c>
      <c r="BD101" s="1082">
        <f t="shared" si="90"/>
        <v>8.3838703314670333</v>
      </c>
      <c r="BE101" s="1056">
        <f t="shared" si="54"/>
        <v>520.8323310589933</v>
      </c>
      <c r="BF101" s="167">
        <v>0</v>
      </c>
      <c r="BG101" s="1075">
        <f t="shared" si="83"/>
        <v>520.8323310589933</v>
      </c>
      <c r="BI101" s="1055">
        <f t="shared" si="84"/>
        <v>318.95009520230315</v>
      </c>
      <c r="BJ101" s="1056">
        <f t="shared" si="85"/>
        <v>193.49836552522314</v>
      </c>
      <c r="BK101" s="1082">
        <f t="shared" si="86"/>
        <v>8.3838703314670333</v>
      </c>
      <c r="BL101" s="1056">
        <f t="shared" si="55"/>
        <v>520.8323310589933</v>
      </c>
      <c r="BM101" s="167">
        <v>0</v>
      </c>
      <c r="BN101" s="1075">
        <f t="shared" si="87"/>
        <v>520.8323310589933</v>
      </c>
    </row>
    <row r="102" spans="1:66">
      <c r="A102" s="927">
        <f>'Input data'!A132</f>
        <v>2032</v>
      </c>
      <c r="B102" s="824">
        <f>'Input data'!B132</f>
        <v>67.08666821358311</v>
      </c>
      <c r="C102" s="824">
        <f>'Recycling - Case 3'!AK112/B102</f>
        <v>282.03003311800558</v>
      </c>
      <c r="D102" s="825">
        <f>'Recycling - Case 3'!AM112</f>
        <v>0.117798766784085</v>
      </c>
      <c r="E102" s="826">
        <f>'Recycling - Case 3'!BE112</f>
        <v>0.21279871307702919</v>
      </c>
      <c r="F102" s="826">
        <f>'Recycling - Case 3'!BF112</f>
        <v>0.26988633802500545</v>
      </c>
      <c r="G102" s="826">
        <f>'Recycling - Case 3'!BG112</f>
        <v>5.5086215315124989E-2</v>
      </c>
      <c r="H102" s="826">
        <f>'Recycling - Case 3'!BH112</f>
        <v>0</v>
      </c>
      <c r="I102" s="826">
        <f>'Recycling - Case 3'!BI112</f>
        <v>0</v>
      </c>
      <c r="J102" s="826">
        <f>'Recycling - Case 3'!BJ112</f>
        <v>0</v>
      </c>
      <c r="K102" s="826">
        <f>'Recycling - Case 3'!BK112</f>
        <v>0.46222873358284033</v>
      </c>
      <c r="L102" s="827">
        <f t="shared" si="89"/>
        <v>1</v>
      </c>
      <c r="M102" s="4"/>
      <c r="N102" s="838">
        <f t="shared" si="56"/>
        <v>2228.8062963921589</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832">
        <f t="shared" si="57"/>
        <v>120.27927102555576</v>
      </c>
      <c r="R102" s="832">
        <f t="shared" si="58"/>
        <v>120.27927102555576</v>
      </c>
      <c r="S102" s="835">
        <f t="shared" si="59"/>
        <v>0</v>
      </c>
      <c r="T102" s="832">
        <f t="shared" si="60"/>
        <v>9127.7892631603081</v>
      </c>
      <c r="U102" s="832">
        <f t="shared" si="61"/>
        <v>461.82491291474037</v>
      </c>
      <c r="V102" s="839">
        <f t="shared" si="62"/>
        <v>307.88327527649358</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5384.9444976895302</v>
      </c>
      <c r="AE102" s="854">
        <f t="shared" si="68"/>
        <v>276.09200832058019</v>
      </c>
      <c r="AF102" s="856">
        <f t="shared" si="69"/>
        <v>184.06133888038678</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5384.9444976895302</v>
      </c>
      <c r="AO102" s="854">
        <f t="shared" si="75"/>
        <v>276.09200832058019</v>
      </c>
      <c r="AP102" s="856">
        <f t="shared" si="76"/>
        <v>184.06133888038678</v>
      </c>
      <c r="AQ102" s="4"/>
      <c r="AR102" s="850">
        <f>'Recycling - Case 3'!G112</f>
        <v>759.73125695186627</v>
      </c>
      <c r="AS102" s="846">
        <v>1</v>
      </c>
      <c r="AT102" s="846">
        <f t="shared" si="77"/>
        <v>0.05</v>
      </c>
      <c r="AU102" s="832">
        <f t="shared" si="78"/>
        <v>18.993281423796656</v>
      </c>
      <c r="AV102" s="832">
        <f t="shared" si="79"/>
        <v>18.993281423796656</v>
      </c>
      <c r="AW102" s="835">
        <f t="shared" si="80"/>
        <v>0</v>
      </c>
      <c r="AX102" s="832">
        <f t="shared" si="44"/>
        <v>228.25740099372683</v>
      </c>
      <c r="AY102" s="832">
        <f t="shared" si="49"/>
        <v>12.940170470059687</v>
      </c>
      <c r="AZ102" s="930">
        <f t="shared" si="47"/>
        <v>8.6267803133731249</v>
      </c>
      <c r="BA102" s="4"/>
      <c r="BB102" s="1055">
        <f t="shared" si="81"/>
        <v>307.88327527649358</v>
      </c>
      <c r="BC102" s="1056">
        <f t="shared" si="82"/>
        <v>184.06133888038678</v>
      </c>
      <c r="BD102" s="1082">
        <f t="shared" si="90"/>
        <v>8.6267803133731249</v>
      </c>
      <c r="BE102" s="1056">
        <f t="shared" si="54"/>
        <v>500.57139447025344</v>
      </c>
      <c r="BF102" s="167">
        <v>0</v>
      </c>
      <c r="BG102" s="1075">
        <f t="shared" si="83"/>
        <v>500.57139447025344</v>
      </c>
      <c r="BI102" s="1055">
        <f t="shared" si="84"/>
        <v>307.88327527649358</v>
      </c>
      <c r="BJ102" s="1056">
        <f t="shared" si="85"/>
        <v>184.06133888038678</v>
      </c>
      <c r="BK102" s="1082">
        <f t="shared" si="86"/>
        <v>8.6267803133731249</v>
      </c>
      <c r="BL102" s="1056">
        <f t="shared" si="55"/>
        <v>500.57139447025344</v>
      </c>
      <c r="BM102" s="167">
        <v>0</v>
      </c>
      <c r="BN102" s="1075">
        <f t="shared" si="87"/>
        <v>500.57139447025344</v>
      </c>
    </row>
    <row r="103" spans="1:66">
      <c r="A103" s="927">
        <f>'Input data'!A133</f>
        <v>2033</v>
      </c>
      <c r="B103" s="824">
        <f>'Input data'!B133</f>
        <v>67.659204065895452</v>
      </c>
      <c r="C103" s="824">
        <f>'Recycling - Case 3'!AK113/B103</f>
        <v>280.78520384759781</v>
      </c>
      <c r="D103" s="825">
        <f>'Recycling - Case 3'!AM113</f>
        <v>0.11731977538457024</v>
      </c>
      <c r="E103" s="826">
        <f>'Recycling - Case 3'!BE113</f>
        <v>0.21347476249844466</v>
      </c>
      <c r="F103" s="826">
        <f>'Recycling - Case 3'!BF113</f>
        <v>0.27074375158748171</v>
      </c>
      <c r="G103" s="826">
        <f>'Recycling - Case 3'!BG113</f>
        <v>5.492292470794579E-2</v>
      </c>
      <c r="H103" s="826">
        <f>'Recycling - Case 3'!BH113</f>
        <v>0</v>
      </c>
      <c r="I103" s="826">
        <f>'Recycling - Case 3'!BI113</f>
        <v>0</v>
      </c>
      <c r="J103" s="826">
        <f>'Recycling - Case 3'!BJ113</f>
        <v>0</v>
      </c>
      <c r="K103" s="826">
        <f>'Recycling - Case 3'!BK113</f>
        <v>0.46085856120612789</v>
      </c>
      <c r="L103" s="827">
        <f t="shared" si="89"/>
        <v>1</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832">
        <f t="shared" si="57"/>
        <v>120.51059201407134</v>
      </c>
      <c r="R103" s="832">
        <f t="shared" si="58"/>
        <v>120.51059201407134</v>
      </c>
      <c r="S103" s="835">
        <f t="shared" si="59"/>
        <v>0</v>
      </c>
      <c r="T103" s="832">
        <f t="shared" si="60"/>
        <v>8803.1323197738493</v>
      </c>
      <c r="U103" s="832">
        <f t="shared" si="61"/>
        <v>445.16753540053179</v>
      </c>
      <c r="V103" s="839">
        <f t="shared" si="62"/>
        <v>296.77835693368786</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5122.3176555054979</v>
      </c>
      <c r="AE103" s="854">
        <f t="shared" si="68"/>
        <v>262.62684218403189</v>
      </c>
      <c r="AF103" s="856">
        <f t="shared" si="69"/>
        <v>175.08456145602125</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5122.3176555054979</v>
      </c>
      <c r="AO103" s="854">
        <f t="shared" si="75"/>
        <v>262.62684218403189</v>
      </c>
      <c r="AP103" s="856">
        <f t="shared" si="76"/>
        <v>175.08456145602125</v>
      </c>
      <c r="AQ103" s="4"/>
      <c r="AR103" s="850">
        <f>'Recycling - Case 3'!G113</f>
        <v>766.21500989876245</v>
      </c>
      <c r="AS103" s="846">
        <v>1</v>
      </c>
      <c r="AT103" s="846">
        <f t="shared" si="77"/>
        <v>0.05</v>
      </c>
      <c r="AU103" s="832">
        <f t="shared" si="78"/>
        <v>19.155375247469063</v>
      </c>
      <c r="AV103" s="832">
        <f t="shared" si="79"/>
        <v>19.155375247469063</v>
      </c>
      <c r="AW103" s="835">
        <f t="shared" si="80"/>
        <v>0</v>
      </c>
      <c r="AX103" s="832">
        <f t="shared" si="44"/>
        <v>234.12010003147904</v>
      </c>
      <c r="AY103" s="832">
        <f t="shared" si="49"/>
        <v>13.292676209716852</v>
      </c>
      <c r="AZ103" s="930">
        <f t="shared" si="47"/>
        <v>8.8617841398112347</v>
      </c>
      <c r="BA103" s="4"/>
      <c r="BB103" s="1055">
        <f t="shared" si="81"/>
        <v>296.77835693368786</v>
      </c>
      <c r="BC103" s="1056">
        <f t="shared" si="82"/>
        <v>175.08456145602125</v>
      </c>
      <c r="BD103" s="1082">
        <f t="shared" si="90"/>
        <v>8.8617841398112347</v>
      </c>
      <c r="BE103" s="1056">
        <f t="shared" si="54"/>
        <v>480.7247025295203</v>
      </c>
      <c r="BF103" s="167">
        <v>0</v>
      </c>
      <c r="BG103" s="1075">
        <f t="shared" si="83"/>
        <v>480.7247025295203</v>
      </c>
      <c r="BI103" s="1055">
        <f t="shared" si="84"/>
        <v>296.77835693368786</v>
      </c>
      <c r="BJ103" s="1056">
        <f t="shared" si="85"/>
        <v>175.08456145602125</v>
      </c>
      <c r="BK103" s="1082">
        <f t="shared" si="86"/>
        <v>8.8617841398112347</v>
      </c>
      <c r="BL103" s="1056">
        <f t="shared" si="55"/>
        <v>480.7247025295203</v>
      </c>
      <c r="BM103" s="167">
        <v>0</v>
      </c>
      <c r="BN103" s="1075">
        <f t="shared" si="87"/>
        <v>480.7247025295203</v>
      </c>
    </row>
    <row r="104" spans="1:66">
      <c r="A104" s="927">
        <f>'Input data'!A134</f>
        <v>2034</v>
      </c>
      <c r="B104" s="824">
        <f>'Input data'!B134</f>
        <v>68.236626094715163</v>
      </c>
      <c r="C104" s="824">
        <f>'Recycling - Case 3'!AK114/B104</f>
        <v>279.5517936159477</v>
      </c>
      <c r="D104" s="825">
        <f>'Recycling - Case 3'!AM114</f>
        <v>0.11684025538406186</v>
      </c>
      <c r="E104" s="826">
        <f>'Recycling - Case 3'!BE114</f>
        <v>0.21414114548957475</v>
      </c>
      <c r="F104" s="826">
        <f>'Recycling - Case 3'!BF114</f>
        <v>0.27158890550123271</v>
      </c>
      <c r="G104" s="826">
        <f>'Recycling - Case 3'!BG114</f>
        <v>5.4761968896449478E-2</v>
      </c>
      <c r="H104" s="826">
        <f>'Recycling - Case 3'!BH114</f>
        <v>0</v>
      </c>
      <c r="I104" s="826">
        <f>'Recycling - Case 3'!BI114</f>
        <v>0</v>
      </c>
      <c r="J104" s="826">
        <f>'Recycling - Case 3'!BJ114</f>
        <v>0</v>
      </c>
      <c r="K104" s="826">
        <f>'Recycling - Case 3'!BK114</f>
        <v>0.45950798011274291</v>
      </c>
      <c r="L104" s="827">
        <f t="shared" si="89"/>
        <v>0.99999999999999978</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4872.4992755563417</v>
      </c>
      <c r="AE104" s="854">
        <f t="shared" si="68"/>
        <v>249.81837994915645</v>
      </c>
      <c r="AF104" s="856">
        <f t="shared" si="69"/>
        <v>166.54558663277098</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4872.4992755563417</v>
      </c>
      <c r="AO104" s="854">
        <f t="shared" si="75"/>
        <v>249.81837994915645</v>
      </c>
      <c r="AP104" s="856">
        <f t="shared" si="76"/>
        <v>166.54558663277098</v>
      </c>
      <c r="AQ104" s="4"/>
      <c r="AR104" s="850">
        <f>'Recycling - Case 3'!G114</f>
        <v>772.75409695478163</v>
      </c>
      <c r="AS104" s="846">
        <v>1</v>
      </c>
      <c r="AT104" s="846">
        <f t="shared" si="77"/>
        <v>0.05</v>
      </c>
      <c r="AU104" s="832">
        <f t="shared" si="78"/>
        <v>19.318852423869544</v>
      </c>
      <c r="AV104" s="832">
        <f t="shared" si="79"/>
        <v>19.318852423869544</v>
      </c>
      <c r="AW104" s="835">
        <f t="shared" si="80"/>
        <v>0</v>
      </c>
      <c r="AX104" s="832">
        <f t="shared" si="44"/>
        <v>239.80485923271306</v>
      </c>
      <c r="AY104" s="832">
        <f t="shared" si="49"/>
        <v>13.634093222635528</v>
      </c>
      <c r="AZ104" s="930">
        <f t="shared" si="47"/>
        <v>9.0893954817570179</v>
      </c>
      <c r="BA104" s="4"/>
      <c r="BB104" s="1055">
        <f t="shared" si="81"/>
        <v>286.22255295449003</v>
      </c>
      <c r="BC104" s="1056">
        <f t="shared" si="82"/>
        <v>166.54558663277098</v>
      </c>
      <c r="BD104" s="1082">
        <f t="shared" si="90"/>
        <v>9.0893954817570179</v>
      </c>
      <c r="BE104" s="1056">
        <f t="shared" si="54"/>
        <v>461.85753506901801</v>
      </c>
      <c r="BF104" s="167">
        <v>0</v>
      </c>
      <c r="BG104" s="1075">
        <f t="shared" si="83"/>
        <v>461.85753506901801</v>
      </c>
      <c r="BI104" s="1055">
        <f t="shared" si="84"/>
        <v>286.22255295449003</v>
      </c>
      <c r="BJ104" s="1056">
        <f t="shared" si="85"/>
        <v>166.54558663277098</v>
      </c>
      <c r="BK104" s="1082">
        <f t="shared" si="86"/>
        <v>9.0893954817570179</v>
      </c>
      <c r="BL104" s="1056">
        <f t="shared" si="55"/>
        <v>461.85753506901801</v>
      </c>
      <c r="BM104" s="167">
        <v>0</v>
      </c>
      <c r="BN104" s="1075">
        <f t="shared" si="87"/>
        <v>461.85753506901801</v>
      </c>
    </row>
    <row r="105" spans="1:66">
      <c r="A105" s="927">
        <f>'Input data'!A135</f>
        <v>2035</v>
      </c>
      <c r="B105" s="824">
        <f>'Input data'!B135</f>
        <v>68.818976000000006</v>
      </c>
      <c r="C105" s="824">
        <f>'Recycling - Case 3'!AK115/B105</f>
        <v>278.32968324673374</v>
      </c>
      <c r="D105" s="825">
        <f>'Recycling - Case 3'!AM115</f>
        <v>0.11636023627094678</v>
      </c>
      <c r="E105" s="826">
        <f>'Recycling - Case 3'!BE115</f>
        <v>0.21479804434918434</v>
      </c>
      <c r="F105" s="826">
        <f>'Recycling - Case 3'!BF115</f>
        <v>0.27242203097041112</v>
      </c>
      <c r="G105" s="826">
        <f>'Recycling - Case 3'!BG115</f>
        <v>5.4603303848831559E-2</v>
      </c>
      <c r="H105" s="826">
        <f>'Recycling - Case 3'!BH115</f>
        <v>0</v>
      </c>
      <c r="I105" s="826">
        <f>'Recycling - Case 3'!BI115</f>
        <v>0</v>
      </c>
      <c r="J105" s="826">
        <f>'Recycling - Case 3'!BJ115</f>
        <v>0</v>
      </c>
      <c r="K105" s="826">
        <f>'Recycling - Case 3'!BK115</f>
        <v>0.45817662083157323</v>
      </c>
      <c r="L105" s="827">
        <f t="shared" si="89"/>
        <v>1.0000000000000002</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4634.8646817676045</v>
      </c>
      <c r="AE105" s="854">
        <f t="shared" si="68"/>
        <v>237.63459378873682</v>
      </c>
      <c r="AF105" s="856">
        <f t="shared" si="69"/>
        <v>158.42306252582455</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4634.8646817676045</v>
      </c>
      <c r="AO105" s="854">
        <f t="shared" si="75"/>
        <v>237.63459378873682</v>
      </c>
      <c r="AP105" s="856">
        <f t="shared" si="76"/>
        <v>158.42306252582455</v>
      </c>
      <c r="AQ105" s="4"/>
      <c r="AR105" s="850">
        <f>'Recycling - Case 3'!G115</f>
        <v>779.34899035624392</v>
      </c>
      <c r="AS105" s="846">
        <v>1</v>
      </c>
      <c r="AT105" s="846">
        <f t="shared" si="77"/>
        <v>0.05</v>
      </c>
      <c r="AU105" s="832">
        <f t="shared" si="78"/>
        <v>19.483724758906099</v>
      </c>
      <c r="AV105" s="832">
        <f t="shared" si="79"/>
        <v>19.483724758906099</v>
      </c>
      <c r="AW105" s="835">
        <f t="shared" si="80"/>
        <v>0</v>
      </c>
      <c r="AX105" s="832">
        <f t="shared" si="44"/>
        <v>245.32343616543855</v>
      </c>
      <c r="AY105" s="832">
        <f t="shared" si="49"/>
        <v>13.965147826180624</v>
      </c>
      <c r="AZ105" s="930">
        <f t="shared" si="47"/>
        <v>9.3100985507870835</v>
      </c>
      <c r="BA105" s="4"/>
      <c r="BB105" s="1055">
        <f t="shared" si="81"/>
        <v>276.1889751755437</v>
      </c>
      <c r="BC105" s="1056">
        <f t="shared" si="82"/>
        <v>158.42306252582455</v>
      </c>
      <c r="BD105" s="1082">
        <f t="shared" si="90"/>
        <v>9.3100985507870835</v>
      </c>
      <c r="BE105" s="1056">
        <f t="shared" si="54"/>
        <v>443.92213625215533</v>
      </c>
      <c r="BF105" s="167">
        <v>0</v>
      </c>
      <c r="BG105" s="1075">
        <f t="shared" si="83"/>
        <v>443.92213625215533</v>
      </c>
      <c r="BI105" s="1055">
        <f t="shared" si="84"/>
        <v>276.1889751755437</v>
      </c>
      <c r="BJ105" s="1056">
        <f t="shared" si="85"/>
        <v>158.42306252582455</v>
      </c>
      <c r="BK105" s="1082">
        <f t="shared" si="86"/>
        <v>9.3100985507870835</v>
      </c>
      <c r="BL105" s="1056">
        <f t="shared" si="55"/>
        <v>443.92213625215533</v>
      </c>
      <c r="BM105" s="167">
        <v>0</v>
      </c>
      <c r="BN105" s="1075">
        <f t="shared" si="87"/>
        <v>443.92213625215533</v>
      </c>
    </row>
    <row r="106" spans="1:66">
      <c r="A106" s="927">
        <f>'Input data'!A136</f>
        <v>2036</v>
      </c>
      <c r="B106" s="824">
        <f>'Input data'!B136</f>
        <v>69.322810489383542</v>
      </c>
      <c r="C106" s="824">
        <f>'Recycling - Case 3'!AK116/B106</f>
        <v>277.28958269275716</v>
      </c>
      <c r="D106" s="825">
        <f>'Recycling - Case 3'!AM116</f>
        <v>0.11594782602683691</v>
      </c>
      <c r="E106" s="826">
        <f>'Recycling - Case 3'!BE116</f>
        <v>0.21535447797222657</v>
      </c>
      <c r="F106" s="826">
        <f>'Recycling - Case 3'!BF116</f>
        <v>0.27312773934009704</v>
      </c>
      <c r="G106" s="826">
        <f>'Recycling - Case 3'!BG116</f>
        <v>5.4468904822246644E-2</v>
      </c>
      <c r="H106" s="826">
        <f>'Recycling - Case 3'!BH116</f>
        <v>0</v>
      </c>
      <c r="I106" s="826">
        <f>'Recycling - Case 3'!BI116</f>
        <v>0</v>
      </c>
      <c r="J106" s="826">
        <f>'Recycling - Case 3'!BJ116</f>
        <v>0</v>
      </c>
      <c r="K106" s="826">
        <f>'Recycling - Case 3'!BK116</f>
        <v>0.45704887786542958</v>
      </c>
      <c r="L106" s="827">
        <f t="shared" si="89"/>
        <v>0.99999999999999978</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4408.819663876483</v>
      </c>
      <c r="AE106" s="854">
        <f t="shared" si="68"/>
        <v>226.04501789112106</v>
      </c>
      <c r="AF106" s="856">
        <f t="shared" si="69"/>
        <v>150.69667859408071</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4408.819663876483</v>
      </c>
      <c r="AO106" s="854">
        <f t="shared" si="75"/>
        <v>226.04501789112106</v>
      </c>
      <c r="AP106" s="856">
        <f t="shared" si="76"/>
        <v>150.69667859408071</v>
      </c>
      <c r="AQ106" s="4"/>
      <c r="AR106" s="850">
        <f>'Recycling - Case 3'!G116</f>
        <v>785.05472623652952</v>
      </c>
      <c r="AS106" s="846">
        <v>1</v>
      </c>
      <c r="AT106" s="846">
        <f t="shared" si="77"/>
        <v>0.05</v>
      </c>
      <c r="AU106" s="832">
        <f t="shared" si="78"/>
        <v>19.626368155913241</v>
      </c>
      <c r="AV106" s="832">
        <f t="shared" si="79"/>
        <v>19.626368155913241</v>
      </c>
      <c r="AW106" s="835">
        <f t="shared" si="80"/>
        <v>0</v>
      </c>
      <c r="AX106" s="832">
        <f t="shared" si="44"/>
        <v>250.66327959354268</v>
      </c>
      <c r="AY106" s="832">
        <f t="shared" si="49"/>
        <v>14.2865247278091</v>
      </c>
      <c r="AZ106" s="930">
        <f t="shared" si="47"/>
        <v>9.5243498185394007</v>
      </c>
      <c r="BA106" s="4"/>
      <c r="BB106" s="1055">
        <f t="shared" si="81"/>
        <v>266.65204881278231</v>
      </c>
      <c r="BC106" s="1056">
        <f t="shared" si="82"/>
        <v>150.69667859408071</v>
      </c>
      <c r="BD106" s="1082">
        <f t="shared" si="90"/>
        <v>9.5243498185394007</v>
      </c>
      <c r="BE106" s="1056">
        <f t="shared" si="54"/>
        <v>426.87307722540243</v>
      </c>
      <c r="BF106" s="167">
        <v>0</v>
      </c>
      <c r="BG106" s="1075">
        <f t="shared" si="83"/>
        <v>426.87307722540243</v>
      </c>
      <c r="BI106" s="1055">
        <f t="shared" si="84"/>
        <v>266.65204881278231</v>
      </c>
      <c r="BJ106" s="1056">
        <f t="shared" si="85"/>
        <v>150.69667859408071</v>
      </c>
      <c r="BK106" s="1082">
        <f t="shared" si="86"/>
        <v>9.5243498185394007</v>
      </c>
      <c r="BL106" s="1056">
        <f t="shared" si="55"/>
        <v>426.87307722540243</v>
      </c>
      <c r="BM106" s="167">
        <v>0</v>
      </c>
      <c r="BN106" s="1075">
        <f t="shared" si="87"/>
        <v>426.87307722540243</v>
      </c>
    </row>
    <row r="107" spans="1:66">
      <c r="A107" s="927">
        <f>'Input data'!A137</f>
        <v>2037</v>
      </c>
      <c r="B107" s="824">
        <f>'Input data'!B137</f>
        <v>69.830333629884052</v>
      </c>
      <c r="C107" s="824">
        <f>'Recycling - Case 3'!AK117/B107</f>
        <v>276.25764791535482</v>
      </c>
      <c r="D107" s="825">
        <f>'Recycling - Case 3'!AM117</f>
        <v>0.11553508790560191</v>
      </c>
      <c r="E107" s="826">
        <f>'Recycling - Case 3'!BE117</f>
        <v>0.21590416467961743</v>
      </c>
      <c r="F107" s="826">
        <f>'Recycling - Case 3'!BF117</f>
        <v>0.27382489079544936</v>
      </c>
      <c r="G107" s="826">
        <f>'Recycling - Case 3'!BG117</f>
        <v>5.4336135422015146E-2</v>
      </c>
      <c r="H107" s="826">
        <f>'Recycling - Case 3'!BH117</f>
        <v>0</v>
      </c>
      <c r="I107" s="826">
        <f>'Recycling - Case 3'!BI117</f>
        <v>0</v>
      </c>
      <c r="J107" s="826">
        <f>'Recycling - Case 3'!BJ117</f>
        <v>0</v>
      </c>
      <c r="K107" s="826">
        <f>'Recycling - Case 3'!BK117</f>
        <v>0.45593480910291828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3'!AM157</f>
        <v>42.366317639742377</v>
      </c>
      <c r="Y107" s="853">
        <f>Parameters!S277</f>
        <v>0.71500000000000008</v>
      </c>
      <c r="Z107" s="853">
        <f t="shared" si="63"/>
        <v>0.4</v>
      </c>
      <c r="AA107" s="854">
        <f t="shared" si="64"/>
        <v>6.0583834224831605</v>
      </c>
      <c r="AB107" s="854">
        <f t="shared" si="65"/>
        <v>6.0583834224831605</v>
      </c>
      <c r="AC107" s="855">
        <f t="shared" si="66"/>
        <v>0</v>
      </c>
      <c r="AD107" s="854">
        <f t="shared" si="67"/>
        <v>4199.8573750191417</v>
      </c>
      <c r="AE107" s="854">
        <f t="shared" si="68"/>
        <v>215.02067227982468</v>
      </c>
      <c r="AF107" s="856">
        <f t="shared" si="69"/>
        <v>143.34711485321645</v>
      </c>
      <c r="AG107" s="4"/>
      <c r="AH107" s="852">
        <f>'Recycling - Case 3'!AM197</f>
        <v>42.366317639742377</v>
      </c>
      <c r="AI107" s="853">
        <f>Parameters!S277</f>
        <v>0.71500000000000008</v>
      </c>
      <c r="AJ107" s="853">
        <f t="shared" si="70"/>
        <v>0.4</v>
      </c>
      <c r="AK107" s="854">
        <f t="shared" si="71"/>
        <v>6.0583834224831605</v>
      </c>
      <c r="AL107" s="854">
        <f t="shared" si="72"/>
        <v>6.0583834224831605</v>
      </c>
      <c r="AM107" s="855">
        <f t="shared" si="73"/>
        <v>0</v>
      </c>
      <c r="AN107" s="854">
        <f t="shared" si="74"/>
        <v>4199.8573750191417</v>
      </c>
      <c r="AO107" s="854">
        <f t="shared" si="75"/>
        <v>215.02067227982468</v>
      </c>
      <c r="AP107" s="856">
        <f t="shared" si="76"/>
        <v>143.34711485321645</v>
      </c>
      <c r="AQ107" s="4"/>
      <c r="AR107" s="850">
        <f>'Recycling - Case 3'!G117</f>
        <v>790.80223470180374</v>
      </c>
      <c r="AS107" s="846">
        <v>1</v>
      </c>
      <c r="AT107" s="846">
        <f t="shared" si="77"/>
        <v>0.05</v>
      </c>
      <c r="AU107" s="832">
        <f t="shared" si="78"/>
        <v>19.770055867545096</v>
      </c>
      <c r="AV107" s="832">
        <f t="shared" si="79"/>
        <v>19.770055867545096</v>
      </c>
      <c r="AW107" s="835">
        <f t="shared" si="80"/>
        <v>0</v>
      </c>
      <c r="AX107" s="832">
        <f t="shared" si="44"/>
        <v>255.83584246065595</v>
      </c>
      <c r="AY107" s="832">
        <f t="shared" si="49"/>
        <v>14.597493000431829</v>
      </c>
      <c r="AZ107" s="930">
        <f t="shared" si="47"/>
        <v>9.7316620002878853</v>
      </c>
      <c r="BA107" s="4"/>
      <c r="BB107" s="1055">
        <f t="shared" si="81"/>
        <v>257.58643420683467</v>
      </c>
      <c r="BC107" s="1056">
        <f t="shared" si="82"/>
        <v>143.34711485321645</v>
      </c>
      <c r="BD107" s="1082">
        <f t="shared" si="90"/>
        <v>9.7316620002878853</v>
      </c>
      <c r="BE107" s="1056">
        <f t="shared" si="54"/>
        <v>410.665211060339</v>
      </c>
      <c r="BF107" s="167">
        <v>0</v>
      </c>
      <c r="BG107" s="1075">
        <f t="shared" si="83"/>
        <v>410.665211060339</v>
      </c>
      <c r="BI107" s="1055">
        <f t="shared" si="84"/>
        <v>257.58643420683467</v>
      </c>
      <c r="BJ107" s="1056">
        <f t="shared" si="85"/>
        <v>143.34711485321645</v>
      </c>
      <c r="BK107" s="1082">
        <f t="shared" si="86"/>
        <v>9.7316620002878853</v>
      </c>
      <c r="BL107" s="1056">
        <f t="shared" si="55"/>
        <v>410.665211060339</v>
      </c>
      <c r="BM107" s="167">
        <v>0</v>
      </c>
      <c r="BN107" s="1075">
        <f t="shared" si="87"/>
        <v>410.665211060339</v>
      </c>
    </row>
    <row r="108" spans="1:66">
      <c r="A108" s="927">
        <f>'Input data'!A138</f>
        <v>2038</v>
      </c>
      <c r="B108" s="824">
        <f>'Input data'!B138</f>
        <v>70.341572426693446</v>
      </c>
      <c r="C108" s="824">
        <f>'Recycling - Case 3'!AK118/B108</f>
        <v>275.23380642431778</v>
      </c>
      <c r="D108" s="825">
        <f>'Recycling - Case 3'!AM118</f>
        <v>0.11512204010082239</v>
      </c>
      <c r="E108" s="826">
        <f>'Recycling - Case 3'!BE118</f>
        <v>0.21644721208362872</v>
      </c>
      <c r="F108" s="826">
        <f>'Recycling - Case 3'!BF118</f>
        <v>0.27451362181794159</v>
      </c>
      <c r="G108" s="826">
        <f>'Recycling - Case 3'!BG118</f>
        <v>5.4204969655846105E-2</v>
      </c>
      <c r="H108" s="826">
        <f>'Recycling - Case 3'!BH118</f>
        <v>0</v>
      </c>
      <c r="I108" s="826">
        <f>'Recycling - Case 3'!BI118</f>
        <v>0</v>
      </c>
      <c r="J108" s="826">
        <f>'Recycling - Case 3'!BJ118</f>
        <v>0</v>
      </c>
      <c r="K108" s="826">
        <f>'Recycling - Case 3'!BK118</f>
        <v>0.45483419644258377</v>
      </c>
      <c r="L108" s="827">
        <f t="shared" si="89"/>
        <v>1.0000000000000002</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3'!AM158</f>
        <v>127.29730020021991</v>
      </c>
      <c r="Y108" s="853">
        <f>Parameters!S278</f>
        <v>0.71500000000000008</v>
      </c>
      <c r="Z108" s="853">
        <f t="shared" si="63"/>
        <v>0.4</v>
      </c>
      <c r="AA108" s="854">
        <f t="shared" si="64"/>
        <v>18.203513928631448</v>
      </c>
      <c r="AB108" s="854">
        <f t="shared" si="65"/>
        <v>18.203513928631448</v>
      </c>
      <c r="AC108" s="855">
        <f t="shared" si="66"/>
        <v>0</v>
      </c>
      <c r="AD108" s="854">
        <f t="shared" si="67"/>
        <v>4013.2314277531691</v>
      </c>
      <c r="AE108" s="854">
        <f t="shared" si="68"/>
        <v>204.82946119460411</v>
      </c>
      <c r="AF108" s="856">
        <f t="shared" si="69"/>
        <v>136.55297412973607</v>
      </c>
      <c r="AG108" s="4"/>
      <c r="AH108" s="852">
        <f>'Recycling - Case 3'!AM198</f>
        <v>127.29730020021991</v>
      </c>
      <c r="AI108" s="853">
        <f>Parameters!S278</f>
        <v>0.71500000000000008</v>
      </c>
      <c r="AJ108" s="853">
        <f t="shared" si="70"/>
        <v>0.4</v>
      </c>
      <c r="AK108" s="854">
        <f t="shared" si="71"/>
        <v>18.203513928631448</v>
      </c>
      <c r="AL108" s="854">
        <f t="shared" si="72"/>
        <v>18.203513928631448</v>
      </c>
      <c r="AM108" s="855">
        <f t="shared" si="73"/>
        <v>0</v>
      </c>
      <c r="AN108" s="854">
        <f t="shared" si="74"/>
        <v>4013.2314277531691</v>
      </c>
      <c r="AO108" s="854">
        <f t="shared" si="75"/>
        <v>204.82946119460411</v>
      </c>
      <c r="AP108" s="856">
        <f t="shared" si="76"/>
        <v>136.55297412973607</v>
      </c>
      <c r="AQ108" s="4"/>
      <c r="AR108" s="850">
        <f>'Recycling - Case 3'!G118</f>
        <v>796.5918215756966</v>
      </c>
      <c r="AS108" s="846">
        <v>1</v>
      </c>
      <c r="AT108" s="846">
        <f t="shared" si="77"/>
        <v>0.05</v>
      </c>
      <c r="AU108" s="832">
        <f t="shared" si="78"/>
        <v>19.914795539392415</v>
      </c>
      <c r="AV108" s="832">
        <f t="shared" si="79"/>
        <v>19.914795539392415</v>
      </c>
      <c r="AW108" s="835">
        <f t="shared" si="80"/>
        <v>0</v>
      </c>
      <c r="AX108" s="832">
        <f t="shared" si="44"/>
        <v>260.85191838848539</v>
      </c>
      <c r="AY108" s="832">
        <f t="shared" si="49"/>
        <v>14.898719611562965</v>
      </c>
      <c r="AZ108" s="930">
        <f t="shared" si="47"/>
        <v>9.932479741041977</v>
      </c>
      <c r="BA108" s="4"/>
      <c r="BB108" s="1055">
        <f t="shared" si="81"/>
        <v>248.9690701520926</v>
      </c>
      <c r="BC108" s="1056">
        <f t="shared" si="82"/>
        <v>136.55297412973607</v>
      </c>
      <c r="BD108" s="1082">
        <f t="shared" si="90"/>
        <v>9.932479741041977</v>
      </c>
      <c r="BE108" s="1056">
        <f t="shared" si="54"/>
        <v>395.45452402287066</v>
      </c>
      <c r="BF108" s="167">
        <v>0</v>
      </c>
      <c r="BG108" s="1075">
        <f t="shared" si="83"/>
        <v>395.45452402287066</v>
      </c>
      <c r="BI108" s="1055">
        <f t="shared" si="84"/>
        <v>248.9690701520926</v>
      </c>
      <c r="BJ108" s="1056">
        <f t="shared" si="85"/>
        <v>136.55297412973607</v>
      </c>
      <c r="BK108" s="1082">
        <f t="shared" si="86"/>
        <v>9.932479741041977</v>
      </c>
      <c r="BL108" s="1056">
        <f t="shared" si="55"/>
        <v>395.45452402287066</v>
      </c>
      <c r="BM108" s="167">
        <v>0</v>
      </c>
      <c r="BN108" s="1075">
        <f t="shared" si="87"/>
        <v>395.45452402287066</v>
      </c>
    </row>
    <row r="109" spans="1:66">
      <c r="A109" s="927">
        <f>'Input data'!A139</f>
        <v>2039</v>
      </c>
      <c r="B109" s="824">
        <f>'Input data'!B139</f>
        <v>70.856554082712819</v>
      </c>
      <c r="C109" s="824">
        <f>'Recycling - Case 3'!AK119/B109</f>
        <v>274.21798658222781</v>
      </c>
      <c r="D109" s="825">
        <f>'Recycling - Case 3'!AM119</f>
        <v>0.11470870066993408</v>
      </c>
      <c r="E109" s="826">
        <f>'Recycling - Case 3'!BE119</f>
        <v>0.21698372556164097</v>
      </c>
      <c r="F109" s="826">
        <f>'Recycling - Case 3'!BF119</f>
        <v>0.27519406605460101</v>
      </c>
      <c r="G109" s="826">
        <f>'Recycling - Case 3'!BG119</f>
        <v>5.4075382071256443E-2</v>
      </c>
      <c r="H109" s="826">
        <f>'Recycling - Case 3'!BH119</f>
        <v>0</v>
      </c>
      <c r="I109" s="826">
        <f>'Recycling - Case 3'!BI119</f>
        <v>0</v>
      </c>
      <c r="J109" s="826">
        <f>'Recycling - Case 3'!BJ119</f>
        <v>0</v>
      </c>
      <c r="K109" s="826">
        <f>'Recycling - Case 3'!BK119</f>
        <v>0.45374682631250152</v>
      </c>
      <c r="L109" s="827">
        <f t="shared" si="89"/>
        <v>0.99999999999999989</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3'!AM159</f>
        <v>213.7171301888435</v>
      </c>
      <c r="Y109" s="853">
        <f>Parameters!S279</f>
        <v>0.71500000000000008</v>
      </c>
      <c r="Z109" s="853">
        <f t="shared" si="63"/>
        <v>0.4</v>
      </c>
      <c r="AA109" s="854">
        <f t="shared" si="64"/>
        <v>30.561549617004623</v>
      </c>
      <c r="AB109" s="854">
        <f t="shared" si="65"/>
        <v>30.561549617004623</v>
      </c>
      <c r="AC109" s="855">
        <f t="shared" si="66"/>
        <v>0</v>
      </c>
      <c r="AD109" s="854">
        <f t="shared" si="67"/>
        <v>3848.0653710268302</v>
      </c>
      <c r="AE109" s="854">
        <f t="shared" si="68"/>
        <v>195.72760634334321</v>
      </c>
      <c r="AF109" s="856">
        <f t="shared" si="69"/>
        <v>130.48507089556213</v>
      </c>
      <c r="AG109" s="4"/>
      <c r="AH109" s="852">
        <f>'Recycling - Case 3'!AM199</f>
        <v>213.7171301888435</v>
      </c>
      <c r="AI109" s="853">
        <f>Parameters!S279</f>
        <v>0.71500000000000008</v>
      </c>
      <c r="AJ109" s="853">
        <f t="shared" si="70"/>
        <v>0.4</v>
      </c>
      <c r="AK109" s="854">
        <f t="shared" si="71"/>
        <v>30.561549617004623</v>
      </c>
      <c r="AL109" s="854">
        <f t="shared" si="72"/>
        <v>30.561549617004623</v>
      </c>
      <c r="AM109" s="855">
        <f t="shared" si="73"/>
        <v>0</v>
      </c>
      <c r="AN109" s="854">
        <f t="shared" si="74"/>
        <v>3848.0653710268302</v>
      </c>
      <c r="AO109" s="854">
        <f t="shared" si="75"/>
        <v>195.72760634334321</v>
      </c>
      <c r="AP109" s="856">
        <f t="shared" si="76"/>
        <v>130.48507089556213</v>
      </c>
      <c r="AQ109" s="4"/>
      <c r="AR109" s="850">
        <f>'Recycling - Case 3'!G119</f>
        <v>802.42379492081989</v>
      </c>
      <c r="AS109" s="846">
        <v>1</v>
      </c>
      <c r="AT109" s="846">
        <f t="shared" si="77"/>
        <v>0.05</v>
      </c>
      <c r="AU109" s="832">
        <f t="shared" si="78"/>
        <v>20.060594873020499</v>
      </c>
      <c r="AV109" s="832">
        <f t="shared" si="79"/>
        <v>20.060594873020499</v>
      </c>
      <c r="AW109" s="835">
        <f t="shared" si="80"/>
        <v>0</v>
      </c>
      <c r="AX109" s="832">
        <f t="shared" si="44"/>
        <v>265.72168012870895</v>
      </c>
      <c r="AY109" s="832">
        <f t="shared" si="49"/>
        <v>15.190833132796934</v>
      </c>
      <c r="AZ109" s="930">
        <f t="shared" si="47"/>
        <v>10.127222088531289</v>
      </c>
      <c r="BA109" s="4"/>
      <c r="BB109" s="1055">
        <f t="shared" si="81"/>
        <v>240.77802134841218</v>
      </c>
      <c r="BC109" s="1056">
        <f t="shared" si="82"/>
        <v>130.48507089556213</v>
      </c>
      <c r="BD109" s="1082">
        <f t="shared" si="90"/>
        <v>10.127222088531289</v>
      </c>
      <c r="BE109" s="1056">
        <f t="shared" si="54"/>
        <v>381.39031433250562</v>
      </c>
      <c r="BF109" s="167">
        <v>0</v>
      </c>
      <c r="BG109" s="1075">
        <f t="shared" si="83"/>
        <v>381.39031433250562</v>
      </c>
      <c r="BI109" s="1055">
        <f t="shared" si="84"/>
        <v>240.77802134841218</v>
      </c>
      <c r="BJ109" s="1056">
        <f t="shared" si="85"/>
        <v>130.48507089556213</v>
      </c>
      <c r="BK109" s="1082">
        <f t="shared" si="86"/>
        <v>10.127222088531289</v>
      </c>
      <c r="BL109" s="1056">
        <f t="shared" si="55"/>
        <v>381.39031433250562</v>
      </c>
      <c r="BM109" s="167">
        <v>0</v>
      </c>
      <c r="BN109" s="1075">
        <f t="shared" si="87"/>
        <v>381.39031433250562</v>
      </c>
    </row>
    <row r="110" spans="1:66">
      <c r="A110" s="927">
        <f>'Input data'!A140</f>
        <v>2040</v>
      </c>
      <c r="B110" s="824">
        <f>'Input data'!B140</f>
        <v>71.375305999999995</v>
      </c>
      <c r="C110" s="824">
        <f>'Recycling - Case 3'!AK120/B110</f>
        <v>273.21011758893553</v>
      </c>
      <c r="D110" s="825">
        <f>'Recycling - Case 3'!AM120</f>
        <v>0.11429508753609822</v>
      </c>
      <c r="E110" s="826">
        <f>'Recycling - Case 3'!BE120</f>
        <v>0.21751380831394043</v>
      </c>
      <c r="F110" s="826">
        <f>'Recycling - Case 3'!BF120</f>
        <v>0.27586635439130974</v>
      </c>
      <c r="G110" s="826">
        <f>'Recycling - Case 3'!BG120</f>
        <v>5.3947347741610877E-2</v>
      </c>
      <c r="H110" s="826">
        <f>'Recycling - Case 3'!BH120</f>
        <v>0</v>
      </c>
      <c r="I110" s="826">
        <f>'Recycling - Case 3'!BI120</f>
        <v>0</v>
      </c>
      <c r="J110" s="826">
        <f>'Recycling - Case 3'!BJ120</f>
        <v>0</v>
      </c>
      <c r="K110" s="826">
        <f>'Recycling - Case 3'!BK120</f>
        <v>0.45267248955313888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3'!AM160</f>
        <v>301.5211010150029</v>
      </c>
      <c r="Y110" s="853">
        <f>Parameters!S280</f>
        <v>0.71500000000000008</v>
      </c>
      <c r="Z110" s="853">
        <f t="shared" si="63"/>
        <v>0.4</v>
      </c>
      <c r="AA110" s="854">
        <f t="shared" si="64"/>
        <v>43.117517445145424</v>
      </c>
      <c r="AB110" s="854">
        <f t="shared" si="65"/>
        <v>43.117517445145424</v>
      </c>
      <c r="AC110" s="855">
        <f t="shared" si="66"/>
        <v>0</v>
      </c>
      <c r="AD110" s="854">
        <f t="shared" si="67"/>
        <v>3703.5105257681239</v>
      </c>
      <c r="AE110" s="854">
        <f t="shared" si="68"/>
        <v>187.67236270385195</v>
      </c>
      <c r="AF110" s="856">
        <f t="shared" si="69"/>
        <v>125.11490846923463</v>
      </c>
      <c r="AG110" s="4"/>
      <c r="AH110" s="852">
        <f>'Recycling - Case 3'!AM200</f>
        <v>301.5211010150029</v>
      </c>
      <c r="AI110" s="853">
        <f>Parameters!S280</f>
        <v>0.71500000000000008</v>
      </c>
      <c r="AJ110" s="853">
        <f t="shared" si="70"/>
        <v>0.4</v>
      </c>
      <c r="AK110" s="854">
        <f t="shared" si="71"/>
        <v>43.117517445145424</v>
      </c>
      <c r="AL110" s="854">
        <f t="shared" si="72"/>
        <v>43.117517445145424</v>
      </c>
      <c r="AM110" s="855">
        <f t="shared" si="73"/>
        <v>0</v>
      </c>
      <c r="AN110" s="854">
        <f t="shared" si="74"/>
        <v>3703.5105257681239</v>
      </c>
      <c r="AO110" s="854">
        <f t="shared" si="75"/>
        <v>187.67236270385195</v>
      </c>
      <c r="AP110" s="856">
        <f t="shared" si="76"/>
        <v>125.11490846923463</v>
      </c>
      <c r="AQ110" s="4"/>
      <c r="AR110" s="850">
        <f>'Recycling - Case 3'!G120</f>
        <v>808.29846505516082</v>
      </c>
      <c r="AS110" s="846">
        <v>1</v>
      </c>
      <c r="AT110" s="846">
        <f t="shared" si="77"/>
        <v>0.05</v>
      </c>
      <c r="AU110" s="832">
        <f t="shared" si="78"/>
        <v>20.207461626379022</v>
      </c>
      <c r="AV110" s="832">
        <f t="shared" si="79"/>
        <v>20.207461626379022</v>
      </c>
      <c r="AW110" s="835">
        <f t="shared" si="80"/>
        <v>0</v>
      </c>
      <c r="AX110" s="832">
        <f t="shared" si="44"/>
        <v>270.45471577601552</v>
      </c>
      <c r="AY110" s="832">
        <f t="shared" si="49"/>
        <v>15.474425979072434</v>
      </c>
      <c r="AZ110" s="930">
        <f t="shared" si="47"/>
        <v>10.316283986048289</v>
      </c>
      <c r="BA110" s="4"/>
      <c r="BB110" s="1055">
        <f t="shared" si="81"/>
        <v>232.9924234651935</v>
      </c>
      <c r="BC110" s="1056">
        <f t="shared" si="82"/>
        <v>125.11490846923463</v>
      </c>
      <c r="BD110" s="1082">
        <f t="shared" si="90"/>
        <v>10.316283986048289</v>
      </c>
      <c r="BE110" s="1056">
        <f t="shared" si="54"/>
        <v>368.42361592047644</v>
      </c>
      <c r="BF110" s="167">
        <v>0</v>
      </c>
      <c r="BG110" s="1075">
        <f t="shared" si="83"/>
        <v>368.42361592047644</v>
      </c>
      <c r="BI110" s="1055">
        <f t="shared" si="84"/>
        <v>232.9924234651935</v>
      </c>
      <c r="BJ110" s="1056">
        <f t="shared" si="85"/>
        <v>125.11490846923463</v>
      </c>
      <c r="BK110" s="1082">
        <f t="shared" si="86"/>
        <v>10.316283986048289</v>
      </c>
      <c r="BL110" s="1056">
        <f t="shared" si="55"/>
        <v>368.42361592047644</v>
      </c>
      <c r="BM110" s="167">
        <v>0</v>
      </c>
      <c r="BN110" s="1075">
        <f t="shared" si="87"/>
        <v>368.42361592047644</v>
      </c>
    </row>
    <row r="111" spans="1:66">
      <c r="A111" s="927">
        <f>'Input data'!A141</f>
        <v>2041</v>
      </c>
      <c r="B111" s="824">
        <f>'Input data'!B141</f>
        <v>71.818612994947316</v>
      </c>
      <c r="C111" s="824">
        <f>'Recycling - Case 3'!AK121/B111</f>
        <v>272.36080273005246</v>
      </c>
      <c r="D111" s="825">
        <f>'Recycling - Case 3'!AM121</f>
        <v>0.11394380208981811</v>
      </c>
      <c r="E111" s="826">
        <f>'Recycling - Case 3'!BE121</f>
        <v>0.2179587836733877</v>
      </c>
      <c r="F111" s="826">
        <f>'Recycling - Case 3'!BF121</f>
        <v>0.276430703529216</v>
      </c>
      <c r="G111" s="826">
        <f>'Recycling - Case 3'!BG121</f>
        <v>5.3839869953268366E-2</v>
      </c>
      <c r="H111" s="826">
        <f>'Recycling - Case 3'!BH121</f>
        <v>0</v>
      </c>
      <c r="I111" s="826">
        <f>'Recycling - Case 3'!BI121</f>
        <v>0</v>
      </c>
      <c r="J111" s="826">
        <f>'Recycling - Case 3'!BJ121</f>
        <v>0</v>
      </c>
      <c r="K111" s="826">
        <f>'Recycling - Case 3'!BK121</f>
        <v>0.45177064284412771</v>
      </c>
      <c r="L111" s="827">
        <f t="shared" si="89"/>
        <v>0.99999999999999978</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832">
        <f t="shared" si="57"/>
        <v>122.0448706893507</v>
      </c>
      <c r="R111" s="832">
        <f t="shared" si="58"/>
        <v>122.0448706893507</v>
      </c>
      <c r="S111" s="835">
        <f t="shared" si="59"/>
        <v>0</v>
      </c>
      <c r="T111" s="832">
        <f t="shared" si="60"/>
        <v>6722.0333680345993</v>
      </c>
      <c r="U111" s="832">
        <f t="shared" si="61"/>
        <v>338.38864632803831</v>
      </c>
      <c r="V111" s="839">
        <f t="shared" si="62"/>
        <v>225.59243088535888</v>
      </c>
      <c r="W111" s="4"/>
      <c r="X111" s="852">
        <f>'Recycling - Case 3'!AM161</f>
        <v>385.39906825692015</v>
      </c>
      <c r="Y111" s="853">
        <f>Parameters!S281</f>
        <v>0.71500000000000008</v>
      </c>
      <c r="Z111" s="853">
        <f t="shared" si="63"/>
        <v>0.4</v>
      </c>
      <c r="AA111" s="854">
        <f t="shared" si="64"/>
        <v>55.112066760739587</v>
      </c>
      <c r="AB111" s="854">
        <f t="shared" si="65"/>
        <v>55.112066760739587</v>
      </c>
      <c r="AC111" s="855">
        <f t="shared" si="66"/>
        <v>0</v>
      </c>
      <c r="AD111" s="854">
        <f t="shared" si="67"/>
        <v>3578.0002528194891</v>
      </c>
      <c r="AE111" s="854">
        <f t="shared" si="68"/>
        <v>180.62233970937461</v>
      </c>
      <c r="AF111" s="856">
        <f t="shared" si="69"/>
        <v>120.41489313958307</v>
      </c>
      <c r="AG111" s="4"/>
      <c r="AH111" s="852">
        <f>'Recycling - Case 3'!AM201</f>
        <v>385.39906825692015</v>
      </c>
      <c r="AI111" s="853">
        <f>Parameters!S281</f>
        <v>0.71500000000000008</v>
      </c>
      <c r="AJ111" s="853">
        <f t="shared" si="70"/>
        <v>0.4</v>
      </c>
      <c r="AK111" s="854">
        <f t="shared" si="71"/>
        <v>55.112066760739587</v>
      </c>
      <c r="AL111" s="854">
        <f t="shared" si="72"/>
        <v>55.112066760739587</v>
      </c>
      <c r="AM111" s="855">
        <f t="shared" si="73"/>
        <v>0</v>
      </c>
      <c r="AN111" s="854">
        <f t="shared" si="74"/>
        <v>3578.0002528194891</v>
      </c>
      <c r="AO111" s="854">
        <f t="shared" si="75"/>
        <v>180.62233970937461</v>
      </c>
      <c r="AP111" s="856">
        <f t="shared" si="76"/>
        <v>120.41489313958307</v>
      </c>
      <c r="AQ111" s="4"/>
      <c r="AR111" s="850">
        <f>'Recycling - Case 3'!G121</f>
        <v>813.31874985175614</v>
      </c>
      <c r="AS111" s="846">
        <v>1</v>
      </c>
      <c r="AT111" s="846">
        <f t="shared" si="77"/>
        <v>0.05</v>
      </c>
      <c r="AU111" s="832">
        <f t="shared" si="78"/>
        <v>20.332968746293904</v>
      </c>
      <c r="AV111" s="832">
        <f t="shared" si="79"/>
        <v>20.332968746293904</v>
      </c>
      <c r="AW111" s="835">
        <f t="shared" si="80"/>
        <v>0</v>
      </c>
      <c r="AX111" s="832">
        <f t="shared" si="44"/>
        <v>275.03762800475369</v>
      </c>
      <c r="AY111" s="832">
        <f t="shared" si="49"/>
        <v>15.750056517555709</v>
      </c>
      <c r="AZ111" s="930">
        <f t="shared" si="47"/>
        <v>10.500037678370473</v>
      </c>
      <c r="BA111" s="4"/>
      <c r="BB111" s="1055">
        <f t="shared" si="81"/>
        <v>225.59243088535888</v>
      </c>
      <c r="BC111" s="1056">
        <f t="shared" si="82"/>
        <v>120.41489313958307</v>
      </c>
      <c r="BD111" s="1082">
        <f t="shared" si="90"/>
        <v>10.500037678370473</v>
      </c>
      <c r="BE111" s="1056">
        <f t="shared" si="54"/>
        <v>356.50736170331243</v>
      </c>
      <c r="BF111" s="167">
        <v>0</v>
      </c>
      <c r="BG111" s="1075">
        <f t="shared" si="83"/>
        <v>356.50736170331243</v>
      </c>
      <c r="BI111" s="1055">
        <f t="shared" si="84"/>
        <v>225.59243088535888</v>
      </c>
      <c r="BJ111" s="1056">
        <f t="shared" si="85"/>
        <v>120.41489313958307</v>
      </c>
      <c r="BK111" s="1082">
        <f t="shared" si="86"/>
        <v>10.500037678370473</v>
      </c>
      <c r="BL111" s="1056">
        <f t="shared" si="55"/>
        <v>356.50736170331243</v>
      </c>
      <c r="BM111" s="167">
        <v>0</v>
      </c>
      <c r="BN111" s="1075">
        <f t="shared" si="87"/>
        <v>356.50736170331243</v>
      </c>
    </row>
    <row r="112" spans="1:66">
      <c r="A112" s="927">
        <f>'Input data'!A142</f>
        <v>2042</v>
      </c>
      <c r="B112" s="824">
        <f>'Input data'!B142</f>
        <v>72.264673338395411</v>
      </c>
      <c r="C112" s="824">
        <f>'Recycling - Case 3'!AK122/B112</f>
        <v>271.51712367627835</v>
      </c>
      <c r="D112" s="825">
        <f>'Recycling - Case 3'!AM122</f>
        <v>0.11359234306754344</v>
      </c>
      <c r="E112" s="826">
        <f>'Recycling - Case 3'!BE122</f>
        <v>0.21839925921131736</v>
      </c>
      <c r="F112" s="826">
        <f>'Recycling - Case 3'!BF122</f>
        <v>0.27698934567607147</v>
      </c>
      <c r="G112" s="826">
        <f>'Recycling - Case 3'!BG122</f>
        <v>5.373347903603997E-2</v>
      </c>
      <c r="H112" s="826">
        <f>'Recycling - Case 3'!BH122</f>
        <v>0</v>
      </c>
      <c r="I112" s="826">
        <f>'Recycling - Case 3'!BI122</f>
        <v>0</v>
      </c>
      <c r="J112" s="826">
        <f>'Recycling - Case 3'!BJ122</f>
        <v>0</v>
      </c>
      <c r="K112" s="826">
        <f>'Recycling - Case 3'!BK122</f>
        <v>0.45087791607657107</v>
      </c>
      <c r="L112" s="827">
        <f t="shared" si="89"/>
        <v>0.99999999999999978</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832">
        <f t="shared" si="57"/>
        <v>122.19558635247115</v>
      </c>
      <c r="R112" s="832">
        <f t="shared" si="58"/>
        <v>122.19558635247115</v>
      </c>
      <c r="S112" s="835">
        <f t="shared" si="59"/>
        <v>0</v>
      </c>
      <c r="T112" s="832">
        <f t="shared" si="60"/>
        <v>6516.391518502619</v>
      </c>
      <c r="U112" s="832">
        <f t="shared" si="61"/>
        <v>327.83743588445105</v>
      </c>
      <c r="V112" s="839">
        <f t="shared" si="62"/>
        <v>218.55829058963403</v>
      </c>
      <c r="W112" s="4"/>
      <c r="X112" s="852">
        <f>'Recycling - Case 3'!AM162</f>
        <v>470.14919021642555</v>
      </c>
      <c r="Y112" s="853">
        <f>Parameters!S282</f>
        <v>0.71500000000000008</v>
      </c>
      <c r="Z112" s="853">
        <f t="shared" si="63"/>
        <v>0.4</v>
      </c>
      <c r="AA112" s="854">
        <f t="shared" si="64"/>
        <v>67.231334200948865</v>
      </c>
      <c r="AB112" s="854">
        <f t="shared" si="65"/>
        <v>67.231334200948865</v>
      </c>
      <c r="AC112" s="855">
        <f t="shared" si="66"/>
        <v>0</v>
      </c>
      <c r="AD112" s="854">
        <f t="shared" si="67"/>
        <v>3470.7304555538408</v>
      </c>
      <c r="AE112" s="854">
        <f t="shared" si="68"/>
        <v>174.50113146659723</v>
      </c>
      <c r="AF112" s="856">
        <f t="shared" si="69"/>
        <v>116.33408764439815</v>
      </c>
      <c r="AG112" s="4"/>
      <c r="AH112" s="852">
        <f>'Recycling - Case 3'!AM202</f>
        <v>470.14919021642555</v>
      </c>
      <c r="AI112" s="853">
        <f>Parameters!S282</f>
        <v>0.71500000000000008</v>
      </c>
      <c r="AJ112" s="853">
        <f t="shared" si="70"/>
        <v>0.4</v>
      </c>
      <c r="AK112" s="854">
        <f t="shared" si="71"/>
        <v>67.231334200948865</v>
      </c>
      <c r="AL112" s="854">
        <f t="shared" si="72"/>
        <v>67.231334200948865</v>
      </c>
      <c r="AM112" s="855">
        <f t="shared" si="73"/>
        <v>0</v>
      </c>
      <c r="AN112" s="854">
        <f t="shared" si="74"/>
        <v>3470.7304555538408</v>
      </c>
      <c r="AO112" s="854">
        <f t="shared" si="75"/>
        <v>174.50113146659723</v>
      </c>
      <c r="AP112" s="856">
        <f t="shared" si="76"/>
        <v>116.33408764439815</v>
      </c>
      <c r="AQ112" s="4"/>
      <c r="AR112" s="850">
        <f>'Recycling - Case 3'!G122</f>
        <v>818.37021528338698</v>
      </c>
      <c r="AS112" s="846">
        <v>1</v>
      </c>
      <c r="AT112" s="846">
        <f t="shared" si="77"/>
        <v>0.05</v>
      </c>
      <c r="AU112" s="832">
        <f t="shared" si="78"/>
        <v>20.459255382084677</v>
      </c>
      <c r="AV112" s="832">
        <f t="shared" si="79"/>
        <v>20.459255382084677</v>
      </c>
      <c r="AW112" s="835">
        <f t="shared" si="80"/>
        <v>0</v>
      </c>
      <c r="AX112" s="832">
        <f t="shared" si="44"/>
        <v>279.47993883809966</v>
      </c>
      <c r="AY112" s="832">
        <f t="shared" si="49"/>
        <v>16.016944548738728</v>
      </c>
      <c r="AZ112" s="930">
        <f t="shared" si="47"/>
        <v>10.677963032492485</v>
      </c>
      <c r="BA112" s="4"/>
      <c r="BB112" s="1055">
        <f t="shared" si="81"/>
        <v>218.55829058963403</v>
      </c>
      <c r="BC112" s="1056">
        <f t="shared" si="82"/>
        <v>116.33408764439815</v>
      </c>
      <c r="BD112" s="1082">
        <f t="shared" si="90"/>
        <v>10.677963032492485</v>
      </c>
      <c r="BE112" s="1056">
        <f t="shared" si="54"/>
        <v>345.57034126652468</v>
      </c>
      <c r="BF112" s="167">
        <v>0</v>
      </c>
      <c r="BG112" s="1075">
        <f t="shared" si="83"/>
        <v>345.57034126652468</v>
      </c>
      <c r="BI112" s="1055">
        <f t="shared" si="84"/>
        <v>218.55829058963403</v>
      </c>
      <c r="BJ112" s="1056">
        <f t="shared" si="85"/>
        <v>116.33408764439815</v>
      </c>
      <c r="BK112" s="1082">
        <f t="shared" si="86"/>
        <v>10.677963032492485</v>
      </c>
      <c r="BL112" s="1056">
        <f t="shared" si="55"/>
        <v>345.57034126652468</v>
      </c>
      <c r="BM112" s="167">
        <v>0</v>
      </c>
      <c r="BN112" s="1075">
        <f t="shared" si="87"/>
        <v>345.57034126652468</v>
      </c>
    </row>
    <row r="113" spans="1:66">
      <c r="A113" s="927">
        <f>'Input data'!A143</f>
        <v>2043</v>
      </c>
      <c r="B113" s="824">
        <f>'Input data'!B143</f>
        <v>72.713504131197794</v>
      </c>
      <c r="C113" s="824">
        <f>'Recycling - Case 3'!AK123/B113</f>
        <v>270.67903850077238</v>
      </c>
      <c r="D113" s="825">
        <f>'Recycling - Case 3'!AM123</f>
        <v>0.11324072120840105</v>
      </c>
      <c r="E113" s="826">
        <f>'Recycling - Case 3'!BE123</f>
        <v>0.21883529452492329</v>
      </c>
      <c r="F113" s="826">
        <f>'Recycling - Case 3'!BF123</f>
        <v>0.27754235641724118</v>
      </c>
      <c r="G113" s="826">
        <f>'Recycling - Case 3'!BG123</f>
        <v>5.3628160595028347E-2</v>
      </c>
      <c r="H113" s="826">
        <f>'Recycling - Case 3'!BH123</f>
        <v>0</v>
      </c>
      <c r="I113" s="826">
        <f>'Recycling - Case 3'!BI123</f>
        <v>0</v>
      </c>
      <c r="J113" s="826">
        <f>'Recycling - Case 3'!BJ123</f>
        <v>0</v>
      </c>
      <c r="K113" s="826">
        <f>'Recycling - Case 3'!BK123</f>
        <v>0.4499941884628072</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3'!AM163</f>
        <v>555.90056218314351</v>
      </c>
      <c r="Y113" s="853">
        <f>Parameters!S283</f>
        <v>0.71500000000000008</v>
      </c>
      <c r="Z113" s="853">
        <f t="shared" si="63"/>
        <v>0.4</v>
      </c>
      <c r="AA113" s="854">
        <f t="shared" si="64"/>
        <v>79.493780392189535</v>
      </c>
      <c r="AB113" s="854">
        <f t="shared" si="65"/>
        <v>79.493780392189535</v>
      </c>
      <c r="AC113" s="855">
        <f t="shared" si="66"/>
        <v>0</v>
      </c>
      <c r="AD113" s="854">
        <f t="shared" si="67"/>
        <v>3380.9547142257702</v>
      </c>
      <c r="AE113" s="854">
        <f t="shared" si="68"/>
        <v>169.26952172025983</v>
      </c>
      <c r="AF113" s="856">
        <f t="shared" si="69"/>
        <v>112.84634781350655</v>
      </c>
      <c r="AG113" s="4"/>
      <c r="AH113" s="852">
        <f>'Recycling - Case 3'!AM203</f>
        <v>555.90056218314351</v>
      </c>
      <c r="AI113" s="853">
        <f>Parameters!S283</f>
        <v>0.71500000000000008</v>
      </c>
      <c r="AJ113" s="853">
        <f t="shared" si="70"/>
        <v>0.4</v>
      </c>
      <c r="AK113" s="854">
        <f t="shared" si="71"/>
        <v>79.493780392189535</v>
      </c>
      <c r="AL113" s="854">
        <f t="shared" si="72"/>
        <v>79.493780392189535</v>
      </c>
      <c r="AM113" s="855">
        <f t="shared" si="73"/>
        <v>0</v>
      </c>
      <c r="AN113" s="854">
        <f t="shared" si="74"/>
        <v>3380.9547142257702</v>
      </c>
      <c r="AO113" s="854">
        <f t="shared" si="75"/>
        <v>169.26952172025983</v>
      </c>
      <c r="AP113" s="856">
        <f t="shared" si="76"/>
        <v>112.84634781350655</v>
      </c>
      <c r="AQ113" s="4"/>
      <c r="AR113" s="850">
        <f>'Recycling - Case 3'!G123</f>
        <v>823.4530550107803</v>
      </c>
      <c r="AS113" s="846">
        <v>1</v>
      </c>
      <c r="AT113" s="846">
        <f t="shared" si="77"/>
        <v>0.05</v>
      </c>
      <c r="AU113" s="832">
        <f t="shared" si="78"/>
        <v>20.586326375269508</v>
      </c>
      <c r="AV113" s="832">
        <f t="shared" si="79"/>
        <v>20.586326375269508</v>
      </c>
      <c r="AW113" s="835">
        <f t="shared" si="80"/>
        <v>0</v>
      </c>
      <c r="AX113" s="832">
        <f t="shared" si="44"/>
        <v>283.79062062128679</v>
      </c>
      <c r="AY113" s="832">
        <f t="shared" si="49"/>
        <v>16.275644592082376</v>
      </c>
      <c r="AZ113" s="930">
        <f t="shared" si="47"/>
        <v>10.850429728054918</v>
      </c>
      <c r="BA113" s="4"/>
      <c r="BB113" s="1055">
        <f t="shared" si="81"/>
        <v>211.87210969069255</v>
      </c>
      <c r="BC113" s="1056">
        <f t="shared" si="82"/>
        <v>112.84634781350655</v>
      </c>
      <c r="BD113" s="1082">
        <f t="shared" si="90"/>
        <v>10.850429728054918</v>
      </c>
      <c r="BE113" s="1056">
        <f t="shared" si="54"/>
        <v>335.56888723225404</v>
      </c>
      <c r="BF113" s="167">
        <v>0</v>
      </c>
      <c r="BG113" s="1075">
        <f t="shared" si="83"/>
        <v>335.56888723225404</v>
      </c>
      <c r="BI113" s="1055">
        <f t="shared" si="84"/>
        <v>211.87210969069255</v>
      </c>
      <c r="BJ113" s="1056">
        <f t="shared" si="85"/>
        <v>112.84634781350655</v>
      </c>
      <c r="BK113" s="1082">
        <f t="shared" si="86"/>
        <v>10.850429728054918</v>
      </c>
      <c r="BL113" s="1056">
        <f t="shared" si="55"/>
        <v>335.56888723225404</v>
      </c>
      <c r="BM113" s="167">
        <v>0</v>
      </c>
      <c r="BN113" s="1075">
        <f t="shared" si="87"/>
        <v>335.56888723225404</v>
      </c>
    </row>
    <row r="114" spans="1:66">
      <c r="A114" s="927">
        <f>'Input data'!A144</f>
        <v>2044</v>
      </c>
      <c r="B114" s="824">
        <f>'Input data'!B144</f>
        <v>73.165122580420132</v>
      </c>
      <c r="C114" s="824">
        <f>'Recycling - Case 3'!AK124/B114</f>
        <v>269.84650568336718</v>
      </c>
      <c r="D114" s="825">
        <f>'Recycling - Case 3'!AM124</f>
        <v>0.11288894718501212</v>
      </c>
      <c r="E114" s="826">
        <f>'Recycling - Case 3'!BE124</f>
        <v>0.21926694818441095</v>
      </c>
      <c r="F114" s="826">
        <f>'Recycling - Case 3'!BF124</f>
        <v>0.27808981003559108</v>
      </c>
      <c r="G114" s="826">
        <f>'Recycling - Case 3'!BG124</f>
        <v>5.3523900483391409E-2</v>
      </c>
      <c r="H114" s="826">
        <f>'Recycling - Case 3'!BH124</f>
        <v>0</v>
      </c>
      <c r="I114" s="826">
        <f>'Recycling - Case 3'!BI124</f>
        <v>0</v>
      </c>
      <c r="J114" s="826">
        <f>'Recycling - Case 3'!BJ124</f>
        <v>0</v>
      </c>
      <c r="K114" s="826">
        <f>'Recycling - Case 3'!BK124</f>
        <v>0.44911934129660652</v>
      </c>
      <c r="L114" s="827">
        <f t="shared" si="89"/>
        <v>1</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3'!AM164</f>
        <v>642.65909047889772</v>
      </c>
      <c r="Y114" s="853">
        <f>Parameters!S284</f>
        <v>0.71500000000000008</v>
      </c>
      <c r="Z114" s="853">
        <f t="shared" si="63"/>
        <v>0.4</v>
      </c>
      <c r="AA114" s="854">
        <f t="shared" si="64"/>
        <v>91.900249938482389</v>
      </c>
      <c r="AB114" s="854">
        <f t="shared" si="65"/>
        <v>91.900249938482389</v>
      </c>
      <c r="AC114" s="855">
        <f t="shared" si="66"/>
        <v>0</v>
      </c>
      <c r="AD114" s="854">
        <f t="shared" si="67"/>
        <v>3307.963857014438</v>
      </c>
      <c r="AE114" s="854">
        <f t="shared" si="68"/>
        <v>164.89110714981479</v>
      </c>
      <c r="AF114" s="856">
        <f t="shared" si="69"/>
        <v>109.92740476654319</v>
      </c>
      <c r="AG114" s="4"/>
      <c r="AH114" s="852">
        <f>'Recycling - Case 3'!AM204</f>
        <v>642.65909047889772</v>
      </c>
      <c r="AI114" s="853">
        <f>Parameters!S284</f>
        <v>0.71500000000000008</v>
      </c>
      <c r="AJ114" s="853">
        <f t="shared" si="70"/>
        <v>0.4</v>
      </c>
      <c r="AK114" s="854">
        <f t="shared" si="71"/>
        <v>91.900249938482389</v>
      </c>
      <c r="AL114" s="854">
        <f t="shared" si="72"/>
        <v>91.900249938482389</v>
      </c>
      <c r="AM114" s="855">
        <f t="shared" si="73"/>
        <v>0</v>
      </c>
      <c r="AN114" s="854">
        <f t="shared" si="74"/>
        <v>3307.963857014438</v>
      </c>
      <c r="AO114" s="854">
        <f t="shared" si="75"/>
        <v>164.89110714981479</v>
      </c>
      <c r="AP114" s="856">
        <f t="shared" si="76"/>
        <v>109.92740476654319</v>
      </c>
      <c r="AQ114" s="4"/>
      <c r="AR114" s="850">
        <f>'Recycling - Case 3'!G124</f>
        <v>828.56746389747582</v>
      </c>
      <c r="AS114" s="846">
        <v>1</v>
      </c>
      <c r="AT114" s="846">
        <f t="shared" si="77"/>
        <v>0.05</v>
      </c>
      <c r="AU114" s="832">
        <f t="shared" si="78"/>
        <v>20.714186597436896</v>
      </c>
      <c r="AV114" s="832">
        <f t="shared" si="79"/>
        <v>20.714186597436896</v>
      </c>
      <c r="AW114" s="835">
        <f t="shared" si="80"/>
        <v>0</v>
      </c>
      <c r="AX114" s="832">
        <f t="shared" ref="AX114:AX120" si="91">AV114+(AX113*$E$8)</f>
        <v>287.97812806242752</v>
      </c>
      <c r="AY114" s="832">
        <f t="shared" si="49"/>
        <v>16.526679156296158</v>
      </c>
      <c r="AZ114" s="930">
        <f t="shared" si="47"/>
        <v>11.017786104197439</v>
      </c>
      <c r="BA114" s="4"/>
      <c r="BB114" s="1055">
        <f t="shared" si="81"/>
        <v>205.51686861064377</v>
      </c>
      <c r="BC114" s="1056">
        <f t="shared" si="82"/>
        <v>109.92740476654319</v>
      </c>
      <c r="BD114" s="1082">
        <f t="shared" si="90"/>
        <v>11.017786104197439</v>
      </c>
      <c r="BE114" s="1056">
        <f t="shared" si="54"/>
        <v>326.46205948138441</v>
      </c>
      <c r="BF114" s="167">
        <v>0</v>
      </c>
      <c r="BG114" s="1075">
        <f t="shared" si="83"/>
        <v>326.46205948138441</v>
      </c>
      <c r="BI114" s="1055">
        <f t="shared" si="84"/>
        <v>205.51686861064377</v>
      </c>
      <c r="BJ114" s="1056">
        <f t="shared" si="85"/>
        <v>109.92740476654319</v>
      </c>
      <c r="BK114" s="1082">
        <f t="shared" si="86"/>
        <v>11.017786104197439</v>
      </c>
      <c r="BL114" s="1056">
        <f t="shared" si="55"/>
        <v>326.46205948138441</v>
      </c>
      <c r="BM114" s="167">
        <v>0</v>
      </c>
      <c r="BN114" s="1075">
        <f t="shared" si="87"/>
        <v>326.46205948138441</v>
      </c>
    </row>
    <row r="115" spans="1:66">
      <c r="A115" s="927">
        <f>'Input data'!A145</f>
        <v>2045</v>
      </c>
      <c r="B115" s="824">
        <f>'Input data'!B145</f>
        <v>73.619545999999971</v>
      </c>
      <c r="C115" s="824">
        <f>'Recycling - Case 3'!AK125/B115</f>
        <v>269.0194841045323</v>
      </c>
      <c r="D115" s="825">
        <f>'Recycling - Case 3'!AM125</f>
        <v>0.11253703160414483</v>
      </c>
      <c r="E115" s="826">
        <f>'Recycling - Case 3'!BE125</f>
        <v>0.21969427775505454</v>
      </c>
      <c r="F115" s="826">
        <f>'Recycling - Case 3'!BF125</f>
        <v>0.27863177953946222</v>
      </c>
      <c r="G115" s="826">
        <f>'Recycling - Case 3'!BG125</f>
        <v>5.3420684797014596E-2</v>
      </c>
      <c r="H115" s="826">
        <f>'Recycling - Case 3'!BH125</f>
        <v>0</v>
      </c>
      <c r="I115" s="826">
        <f>'Recycling - Case 3'!BI125</f>
        <v>0</v>
      </c>
      <c r="J115" s="826">
        <f>'Recycling - Case 3'!BJ125</f>
        <v>0</v>
      </c>
      <c r="K115" s="826">
        <f>'Recycling - Case 3'!BK125</f>
        <v>0.44825325790846843</v>
      </c>
      <c r="L115" s="827">
        <f t="shared" si="89"/>
        <v>0.99999999999999978</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3'!AM165</f>
        <v>730.40510507461875</v>
      </c>
      <c r="Y115" s="853">
        <f>Parameters!S285</f>
        <v>0.71500000000000008</v>
      </c>
      <c r="Z115" s="853">
        <f t="shared" si="63"/>
        <v>0.4</v>
      </c>
      <c r="AA115" s="854">
        <f t="shared" si="64"/>
        <v>104.44793002567049</v>
      </c>
      <c r="AB115" s="854">
        <f t="shared" si="65"/>
        <v>104.44793002567049</v>
      </c>
      <c r="AC115" s="855">
        <f t="shared" si="66"/>
        <v>0</v>
      </c>
      <c r="AD115" s="854">
        <f t="shared" si="67"/>
        <v>3251.0804860026765</v>
      </c>
      <c r="AE115" s="854">
        <f t="shared" si="68"/>
        <v>161.3313010374319</v>
      </c>
      <c r="AF115" s="856">
        <f t="shared" si="69"/>
        <v>107.55420069162126</v>
      </c>
      <c r="AG115" s="4"/>
      <c r="AH115" s="852">
        <f>'Recycling - Case 3'!AM205</f>
        <v>730.40510507461875</v>
      </c>
      <c r="AI115" s="853">
        <f>Parameters!S285</f>
        <v>0.71500000000000008</v>
      </c>
      <c r="AJ115" s="853">
        <f t="shared" si="70"/>
        <v>0.4</v>
      </c>
      <c r="AK115" s="854">
        <f t="shared" si="71"/>
        <v>104.44793002567049</v>
      </c>
      <c r="AL115" s="854">
        <f t="shared" si="72"/>
        <v>104.44793002567049</v>
      </c>
      <c r="AM115" s="855">
        <f t="shared" si="73"/>
        <v>0</v>
      </c>
      <c r="AN115" s="854">
        <f t="shared" si="74"/>
        <v>3251.0804860026765</v>
      </c>
      <c r="AO115" s="854">
        <f t="shared" si="75"/>
        <v>161.3313010374319</v>
      </c>
      <c r="AP115" s="856">
        <f t="shared" si="76"/>
        <v>107.55420069162126</v>
      </c>
      <c r="AQ115" s="4"/>
      <c r="AR115" s="850">
        <f>'Recycling - Case 3'!G125</f>
        <v>833.71363801729672</v>
      </c>
      <c r="AS115" s="846">
        <v>1</v>
      </c>
      <c r="AT115" s="846">
        <f t="shared" si="77"/>
        <v>0.05</v>
      </c>
      <c r="AU115" s="832">
        <f t="shared" si="78"/>
        <v>20.842840950432418</v>
      </c>
      <c r="AV115" s="832">
        <f t="shared" si="79"/>
        <v>20.842840950432418</v>
      </c>
      <c r="AW115" s="835">
        <f t="shared" si="80"/>
        <v>0</v>
      </c>
      <c r="AX115" s="832">
        <f t="shared" si="91"/>
        <v>292.0504284076095</v>
      </c>
      <c r="AY115" s="832">
        <f t="shared" si="49"/>
        <v>16.770540605250417</v>
      </c>
      <c r="AZ115" s="930">
        <f t="shared" si="47"/>
        <v>11.180360403500279</v>
      </c>
      <c r="BA115" s="4"/>
      <c r="BB115" s="1055">
        <f t="shared" si="81"/>
        <v>199.47637847780393</v>
      </c>
      <c r="BC115" s="1056">
        <f t="shared" si="82"/>
        <v>107.55420069162126</v>
      </c>
      <c r="BD115" s="1082">
        <f t="shared" si="90"/>
        <v>11.180360403500279</v>
      </c>
      <c r="BE115" s="1056">
        <f t="shared" si="54"/>
        <v>318.2109395729255</v>
      </c>
      <c r="BF115" s="167">
        <v>0</v>
      </c>
      <c r="BG115" s="1075">
        <f t="shared" si="83"/>
        <v>318.2109395729255</v>
      </c>
      <c r="BI115" s="1055">
        <f t="shared" si="84"/>
        <v>199.47637847780393</v>
      </c>
      <c r="BJ115" s="1056">
        <f t="shared" si="85"/>
        <v>107.55420069162126</v>
      </c>
      <c r="BK115" s="1082">
        <f t="shared" si="86"/>
        <v>11.180360403500279</v>
      </c>
      <c r="BL115" s="1056">
        <f t="shared" si="55"/>
        <v>318.2109395729255</v>
      </c>
      <c r="BM115" s="167">
        <v>0</v>
      </c>
      <c r="BN115" s="1075">
        <f t="shared" si="87"/>
        <v>318.2109395729255</v>
      </c>
    </row>
    <row r="116" spans="1:66">
      <c r="A116" s="927">
        <f>'Input data'!A146</f>
        <v>2046</v>
      </c>
      <c r="B116" s="824">
        <f>'Input data'!B146</f>
        <v>73.995362001779526</v>
      </c>
      <c r="C116" s="824">
        <f>'Recycling - Case 3'!AK126/B116</f>
        <v>268.34347153368111</v>
      </c>
      <c r="D116" s="825">
        <f>'Recycling - Case 3'!AM126</f>
        <v>0.11224752992749164</v>
      </c>
      <c r="E116" s="826">
        <f>'Recycling - Case 3'!BE126</f>
        <v>0.22004249838631784</v>
      </c>
      <c r="F116" s="826">
        <f>'Recycling - Case 3'!BF126</f>
        <v>0.27907341750633474</v>
      </c>
      <c r="G116" s="826">
        <f>'Recycling - Case 3'!BG126</f>
        <v>5.3336576806518536E-2</v>
      </c>
      <c r="H116" s="826">
        <f>'Recycling - Case 3'!BH126</f>
        <v>0</v>
      </c>
      <c r="I116" s="826">
        <f>'Recycling - Case 3'!BI126</f>
        <v>0</v>
      </c>
      <c r="J116" s="826">
        <f>'Recycling - Case 3'!BJ126</f>
        <v>0</v>
      </c>
      <c r="K116" s="826">
        <f>'Recycling - Case 3'!BK126</f>
        <v>0.44754750730082893</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3'!AM166</f>
        <v>742.57510738224892</v>
      </c>
      <c r="Y116" s="853">
        <f>Parameters!S286</f>
        <v>0.71500000000000008</v>
      </c>
      <c r="Z116" s="853">
        <f t="shared" si="63"/>
        <v>0.4</v>
      </c>
      <c r="AA116" s="854">
        <f t="shared" si="64"/>
        <v>106.18824035566161</v>
      </c>
      <c r="AB116" s="854">
        <f t="shared" si="65"/>
        <v>106.18824035566161</v>
      </c>
      <c r="AC116" s="855">
        <f t="shared" si="66"/>
        <v>0</v>
      </c>
      <c r="AD116" s="854">
        <f t="shared" si="67"/>
        <v>3198.7116600614891</v>
      </c>
      <c r="AE116" s="854">
        <f t="shared" si="68"/>
        <v>158.55706629684892</v>
      </c>
      <c r="AF116" s="856">
        <f t="shared" si="69"/>
        <v>105.70471086456594</v>
      </c>
      <c r="AG116" s="4"/>
      <c r="AH116" s="852">
        <f>'Recycling - Case 3'!AM206</f>
        <v>742.57510738224892</v>
      </c>
      <c r="AI116" s="853">
        <f>Parameters!S286</f>
        <v>0.71500000000000008</v>
      </c>
      <c r="AJ116" s="853">
        <f t="shared" si="70"/>
        <v>0.4</v>
      </c>
      <c r="AK116" s="854">
        <f t="shared" si="71"/>
        <v>106.18824035566161</v>
      </c>
      <c r="AL116" s="854">
        <f t="shared" si="72"/>
        <v>106.18824035566161</v>
      </c>
      <c r="AM116" s="855">
        <f t="shared" si="73"/>
        <v>0</v>
      </c>
      <c r="AN116" s="854">
        <f t="shared" si="74"/>
        <v>3198.7116600614891</v>
      </c>
      <c r="AO116" s="854">
        <f t="shared" si="75"/>
        <v>158.55706629684892</v>
      </c>
      <c r="AP116" s="856">
        <f t="shared" si="76"/>
        <v>105.70471086456594</v>
      </c>
      <c r="AQ116" s="4"/>
      <c r="AR116" s="850">
        <f>'Recycling - Case 3'!G126</f>
        <v>837.96961272907708</v>
      </c>
      <c r="AS116" s="846">
        <v>1</v>
      </c>
      <c r="AT116" s="846">
        <f t="shared" si="77"/>
        <v>0.05</v>
      </c>
      <c r="AU116" s="832">
        <f t="shared" si="78"/>
        <v>20.949240318226927</v>
      </c>
      <c r="AV116" s="832">
        <f t="shared" si="79"/>
        <v>20.949240318226927</v>
      </c>
      <c r="AW116" s="835">
        <f t="shared" si="80"/>
        <v>0</v>
      </c>
      <c r="AX116" s="832">
        <f t="shared" si="91"/>
        <v>295.99197581059934</v>
      </c>
      <c r="AY116" s="832">
        <f t="shared" si="49"/>
        <v>17.007692915237115</v>
      </c>
      <c r="AZ116" s="930">
        <f t="shared" si="47"/>
        <v>11.33846194349141</v>
      </c>
      <c r="BA116" s="4"/>
      <c r="BB116" s="1055">
        <f t="shared" si="81"/>
        <v>193.73524060149632</v>
      </c>
      <c r="BC116" s="1056">
        <f t="shared" si="82"/>
        <v>105.70471086456594</v>
      </c>
      <c r="BD116" s="1082">
        <f t="shared" si="90"/>
        <v>11.33846194349141</v>
      </c>
      <c r="BE116" s="1056">
        <f t="shared" si="54"/>
        <v>310.77841340955365</v>
      </c>
      <c r="BF116" s="167">
        <v>0</v>
      </c>
      <c r="BG116" s="1075">
        <f t="shared" si="83"/>
        <v>310.77841340955365</v>
      </c>
      <c r="BI116" s="1055">
        <f t="shared" si="84"/>
        <v>193.73524060149632</v>
      </c>
      <c r="BJ116" s="1056">
        <f t="shared" si="85"/>
        <v>105.70471086456594</v>
      </c>
      <c r="BK116" s="1082">
        <f t="shared" si="86"/>
        <v>11.33846194349141</v>
      </c>
      <c r="BL116" s="1056">
        <f t="shared" si="55"/>
        <v>310.77841340955365</v>
      </c>
      <c r="BM116" s="167">
        <v>0</v>
      </c>
      <c r="BN116" s="1075">
        <f t="shared" si="87"/>
        <v>310.77841340955365</v>
      </c>
    </row>
    <row r="117" spans="1:66">
      <c r="A117" s="927">
        <f>'Input data'!A147</f>
        <v>2047</v>
      </c>
      <c r="B117" s="824">
        <f>'Input data'!B147</f>
        <v>74.373096484110363</v>
      </c>
      <c r="C117" s="824">
        <f>'Recycling - Case 3'!AK127/B117</f>
        <v>267.67113612541198</v>
      </c>
      <c r="D117" s="825">
        <f>'Recycling - Case 3'!AM127</f>
        <v>0.11195794547794445</v>
      </c>
      <c r="E117" s="826">
        <f>'Recycling - Case 3'!BE127</f>
        <v>0.22038786396742607</v>
      </c>
      <c r="F117" s="826">
        <f>'Recycling - Case 3'!BF127</f>
        <v>0.27951143449721488</v>
      </c>
      <c r="G117" s="826">
        <f>'Recycling - Case 3'!BG127</f>
        <v>5.3253158414827681E-2</v>
      </c>
      <c r="H117" s="826">
        <f>'Recycling - Case 3'!BH127</f>
        <v>0</v>
      </c>
      <c r="I117" s="826">
        <f>'Recycling - Case 3'!BI127</f>
        <v>0</v>
      </c>
      <c r="J117" s="826">
        <f>'Recycling - Case 3'!BJ127</f>
        <v>0</v>
      </c>
      <c r="K117" s="826">
        <f>'Recycling - Case 3'!BK127</f>
        <v>0.44684754312053121</v>
      </c>
      <c r="L117" s="827">
        <f t="shared" si="89"/>
        <v>0.99999999999999989</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3'!AM167</f>
        <v>753.52821671618051</v>
      </c>
      <c r="Y117" s="853">
        <f>Parameters!S287</f>
        <v>0.71500000000000008</v>
      </c>
      <c r="Z117" s="853">
        <f t="shared" si="63"/>
        <v>0.4</v>
      </c>
      <c r="AA117" s="854">
        <f t="shared" si="64"/>
        <v>107.75453499041383</v>
      </c>
      <c r="AB117" s="854">
        <f t="shared" si="65"/>
        <v>107.75453499041383</v>
      </c>
      <c r="AC117" s="855">
        <f t="shared" si="66"/>
        <v>0</v>
      </c>
      <c r="AD117" s="854">
        <f t="shared" si="67"/>
        <v>3150.4631865344277</v>
      </c>
      <c r="AE117" s="854">
        <f t="shared" si="68"/>
        <v>156.00300851747525</v>
      </c>
      <c r="AF117" s="856">
        <f t="shared" si="69"/>
        <v>104.00200567831683</v>
      </c>
      <c r="AG117" s="4"/>
      <c r="AH117" s="852">
        <f>'Recycling - Case 3'!AM207</f>
        <v>753.52821671618051</v>
      </c>
      <c r="AI117" s="853">
        <f>Parameters!S287</f>
        <v>0.71500000000000008</v>
      </c>
      <c r="AJ117" s="853">
        <f t="shared" si="70"/>
        <v>0.4</v>
      </c>
      <c r="AK117" s="854">
        <f t="shared" si="71"/>
        <v>107.75453499041383</v>
      </c>
      <c r="AL117" s="854">
        <f t="shared" si="72"/>
        <v>107.75453499041383</v>
      </c>
      <c r="AM117" s="855">
        <f t="shared" si="73"/>
        <v>0</v>
      </c>
      <c r="AN117" s="854">
        <f t="shared" si="74"/>
        <v>3150.4631865344277</v>
      </c>
      <c r="AO117" s="854">
        <f t="shared" si="75"/>
        <v>156.00300851747525</v>
      </c>
      <c r="AP117" s="856">
        <f t="shared" si="76"/>
        <v>104.00200567831683</v>
      </c>
      <c r="AQ117" s="4"/>
      <c r="AR117" s="850">
        <f>'Recycling - Case 3'!G127</f>
        <v>842.24731351072307</v>
      </c>
      <c r="AS117" s="846">
        <v>1</v>
      </c>
      <c r="AT117" s="846">
        <f t="shared" si="77"/>
        <v>0.05</v>
      </c>
      <c r="AU117" s="832">
        <f t="shared" si="78"/>
        <v>21.056182837768077</v>
      </c>
      <c r="AV117" s="832">
        <f t="shared" si="79"/>
        <v>21.056182837768077</v>
      </c>
      <c r="AW117" s="835">
        <f t="shared" si="80"/>
        <v>0</v>
      </c>
      <c r="AX117" s="832">
        <f t="shared" si="91"/>
        <v>299.81092788171736</v>
      </c>
      <c r="AY117" s="832">
        <f t="shared" si="49"/>
        <v>17.237230766650022</v>
      </c>
      <c r="AZ117" s="930">
        <f t="shared" si="47"/>
        <v>11.491487177766681</v>
      </c>
      <c r="BA117" s="4"/>
      <c r="BB117" s="1055">
        <f t="shared" si="81"/>
        <v>188.27797530646615</v>
      </c>
      <c r="BC117" s="1056">
        <f t="shared" si="82"/>
        <v>104.00200567831683</v>
      </c>
      <c r="BD117" s="1082">
        <f t="shared" si="90"/>
        <v>11.491487177766681</v>
      </c>
      <c r="BE117" s="1056">
        <f t="shared" si="54"/>
        <v>303.77146816254964</v>
      </c>
      <c r="BF117" s="167">
        <v>0</v>
      </c>
      <c r="BG117" s="1075">
        <f t="shared" si="83"/>
        <v>303.77146816254964</v>
      </c>
      <c r="BI117" s="1055">
        <f t="shared" si="84"/>
        <v>188.27797530646615</v>
      </c>
      <c r="BJ117" s="1056">
        <f t="shared" si="85"/>
        <v>104.00200567831683</v>
      </c>
      <c r="BK117" s="1082">
        <f t="shared" si="86"/>
        <v>11.491487177766681</v>
      </c>
      <c r="BL117" s="1056">
        <f t="shared" si="55"/>
        <v>303.77146816254964</v>
      </c>
      <c r="BM117" s="167">
        <v>0</v>
      </c>
      <c r="BN117" s="1075">
        <f t="shared" si="87"/>
        <v>303.77146816254964</v>
      </c>
    </row>
    <row r="118" spans="1:66">
      <c r="A118" s="927">
        <f>'Input data'!A148</f>
        <v>2048</v>
      </c>
      <c r="B118" s="824">
        <f>'Input data'!B148</f>
        <v>74.752759240528661</v>
      </c>
      <c r="C118" s="824">
        <f>'Recycling - Case 3'!AK128/B118</f>
        <v>267.00245560366284</v>
      </c>
      <c r="D118" s="825">
        <f>'Recycling - Case 3'!AM128</f>
        <v>0.11166828405608349</v>
      </c>
      <c r="E118" s="826">
        <f>'Recycling - Case 3'!BE128</f>
        <v>0.22073040504531644</v>
      </c>
      <c r="F118" s="826">
        <f>'Recycling - Case 3'!BF128</f>
        <v>0.27994586925388332</v>
      </c>
      <c r="G118" s="826">
        <f>'Recycling - Case 3'!BG128</f>
        <v>5.3170422243742146E-2</v>
      </c>
      <c r="H118" s="826">
        <f>'Recycling - Case 3'!BH128</f>
        <v>0</v>
      </c>
      <c r="I118" s="826">
        <f>'Recycling - Case 3'!BI128</f>
        <v>0</v>
      </c>
      <c r="J118" s="826">
        <f>'Recycling - Case 3'!BJ128</f>
        <v>0</v>
      </c>
      <c r="K118" s="826">
        <f>'Recycling - Case 3'!BK128</f>
        <v>0.44615330345705817</v>
      </c>
      <c r="L118" s="827">
        <f t="shared" si="89"/>
        <v>1</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3'!AM168</f>
        <v>764.47784063761378</v>
      </c>
      <c r="Y118" s="853">
        <f>Parameters!S288</f>
        <v>0.71500000000000008</v>
      </c>
      <c r="Z118" s="853">
        <f t="shared" si="63"/>
        <v>0.4</v>
      </c>
      <c r="AA118" s="854">
        <f t="shared" si="64"/>
        <v>109.32033121117878</v>
      </c>
      <c r="AB118" s="854">
        <f t="shared" si="65"/>
        <v>109.32033121117878</v>
      </c>
      <c r="AC118" s="855">
        <f t="shared" si="66"/>
        <v>0</v>
      </c>
      <c r="AD118" s="854">
        <f t="shared" si="67"/>
        <v>3106.1336150490079</v>
      </c>
      <c r="AE118" s="854">
        <f t="shared" si="68"/>
        <v>153.64990269659842</v>
      </c>
      <c r="AF118" s="856">
        <f t="shared" si="69"/>
        <v>102.43326846439895</v>
      </c>
      <c r="AG118" s="4"/>
      <c r="AH118" s="852">
        <f>'Recycling - Case 3'!AM208</f>
        <v>764.47784063761378</v>
      </c>
      <c r="AI118" s="853">
        <f>Parameters!S288</f>
        <v>0.71500000000000008</v>
      </c>
      <c r="AJ118" s="853">
        <f t="shared" si="70"/>
        <v>0.4</v>
      </c>
      <c r="AK118" s="854">
        <f t="shared" si="71"/>
        <v>109.32033121117878</v>
      </c>
      <c r="AL118" s="854">
        <f t="shared" si="72"/>
        <v>109.32033121117878</v>
      </c>
      <c r="AM118" s="855">
        <f t="shared" si="73"/>
        <v>0</v>
      </c>
      <c r="AN118" s="854">
        <f t="shared" si="74"/>
        <v>3106.1336150490079</v>
      </c>
      <c r="AO118" s="854">
        <f t="shared" si="75"/>
        <v>153.64990269659842</v>
      </c>
      <c r="AP118" s="856">
        <f t="shared" si="76"/>
        <v>102.43326846439895</v>
      </c>
      <c r="AQ118" s="4"/>
      <c r="AR118" s="850">
        <f>'Recycling - Case 3'!G128</f>
        <v>846.5468512703444</v>
      </c>
      <c r="AS118" s="846">
        <v>1</v>
      </c>
      <c r="AT118" s="846">
        <f t="shared" si="77"/>
        <v>0.05</v>
      </c>
      <c r="AU118" s="832">
        <f t="shared" si="78"/>
        <v>21.16367128175861</v>
      </c>
      <c r="AV118" s="832">
        <f t="shared" si="79"/>
        <v>21.16367128175861</v>
      </c>
      <c r="AW118" s="835">
        <f t="shared" si="80"/>
        <v>0</v>
      </c>
      <c r="AX118" s="832">
        <f t="shared" si="91"/>
        <v>303.51496994174499</v>
      </c>
      <c r="AY118" s="832">
        <f t="shared" si="49"/>
        <v>17.459629221730982</v>
      </c>
      <c r="AZ118" s="930">
        <f t="shared" si="47"/>
        <v>11.639752814487322</v>
      </c>
      <c r="BA118" s="4"/>
      <c r="BB118" s="1055">
        <f t="shared" si="81"/>
        <v>183.09070620088937</v>
      </c>
      <c r="BC118" s="1056">
        <f t="shared" si="82"/>
        <v>102.43326846439895</v>
      </c>
      <c r="BD118" s="1082">
        <f t="shared" si="90"/>
        <v>11.639752814487322</v>
      </c>
      <c r="BE118" s="1056">
        <f t="shared" si="54"/>
        <v>297.16372747977567</v>
      </c>
      <c r="BF118" s="167">
        <v>0</v>
      </c>
      <c r="BG118" s="1075">
        <f t="shared" si="83"/>
        <v>297.16372747977567</v>
      </c>
      <c r="BI118" s="1055">
        <f t="shared" si="84"/>
        <v>183.09070620088937</v>
      </c>
      <c r="BJ118" s="1056">
        <f t="shared" si="85"/>
        <v>102.43326846439895</v>
      </c>
      <c r="BK118" s="1082">
        <f t="shared" si="86"/>
        <v>11.639752814487322</v>
      </c>
      <c r="BL118" s="1056">
        <f t="shared" si="55"/>
        <v>297.16372747977567</v>
      </c>
      <c r="BM118" s="167">
        <v>0</v>
      </c>
      <c r="BN118" s="1075">
        <f t="shared" si="87"/>
        <v>297.16372747977567</v>
      </c>
    </row>
    <row r="119" spans="1:66">
      <c r="A119" s="927">
        <f>'Input data'!A149</f>
        <v>2049</v>
      </c>
      <c r="B119" s="824">
        <f>'Input data'!B149</f>
        <v>75.134360114565098</v>
      </c>
      <c r="C119" s="824">
        <f>'Recycling - Case 3'!AK129/B119</f>
        <v>266.33740786604682</v>
      </c>
      <c r="D119" s="825">
        <f>'Recycling - Case 3'!AM129</f>
        <v>0.11137855143335285</v>
      </c>
      <c r="E119" s="826">
        <f>'Recycling - Case 3'!BE129</f>
        <v>0.22107015174195349</v>
      </c>
      <c r="F119" s="826">
        <f>'Recycling - Case 3'!BF129</f>
        <v>0.28037675997914002</v>
      </c>
      <c r="G119" s="826">
        <f>'Recycling - Case 3'!BG129</f>
        <v>5.3088361017708037E-2</v>
      </c>
      <c r="H119" s="826">
        <f>'Recycling - Case 3'!BH129</f>
        <v>0</v>
      </c>
      <c r="I119" s="826">
        <f>'Recycling - Case 3'!BI129</f>
        <v>0</v>
      </c>
      <c r="J119" s="826">
        <f>'Recycling - Case 3'!BJ129</f>
        <v>0</v>
      </c>
      <c r="K119" s="826">
        <f>'Recycling - Case 3'!BK129</f>
        <v>0.44546472726119851</v>
      </c>
      <c r="L119" s="827">
        <f t="shared" si="89"/>
        <v>1.0000000000000002</v>
      </c>
      <c r="M119" s="4"/>
      <c r="N119" s="838">
        <f t="shared" si="56"/>
        <v>2228.8062963921584</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3'!AM169</f>
        <v>775.23165076363637</v>
      </c>
      <c r="Y119" s="853">
        <f>Parameters!S289</f>
        <v>0.71500000000000008</v>
      </c>
      <c r="Z119" s="853">
        <f t="shared" si="63"/>
        <v>0.4</v>
      </c>
      <c r="AA119" s="854">
        <f t="shared" si="64"/>
        <v>110.85812605920002</v>
      </c>
      <c r="AB119" s="854">
        <f t="shared" si="65"/>
        <v>110.85812605920002</v>
      </c>
      <c r="AC119" s="855">
        <f t="shared" si="66"/>
        <v>0</v>
      </c>
      <c r="AD119" s="854">
        <f t="shared" si="67"/>
        <v>3065.5038171245901</v>
      </c>
      <c r="AE119" s="854">
        <f t="shared" si="68"/>
        <v>151.48792398361775</v>
      </c>
      <c r="AF119" s="856">
        <f t="shared" si="69"/>
        <v>100.99194932241183</v>
      </c>
      <c r="AG119" s="4"/>
      <c r="AH119" s="852">
        <f>'Recycling - Case 3'!AM209</f>
        <v>775.23165076363637</v>
      </c>
      <c r="AI119" s="853">
        <f>Parameters!S289</f>
        <v>0.71500000000000008</v>
      </c>
      <c r="AJ119" s="853">
        <f t="shared" si="70"/>
        <v>0.4</v>
      </c>
      <c r="AK119" s="854">
        <f t="shared" si="71"/>
        <v>110.85812605920002</v>
      </c>
      <c r="AL119" s="854">
        <f t="shared" si="72"/>
        <v>110.85812605920002</v>
      </c>
      <c r="AM119" s="855">
        <f t="shared" si="73"/>
        <v>0</v>
      </c>
      <c r="AN119" s="854">
        <f t="shared" si="74"/>
        <v>3065.5038171245901</v>
      </c>
      <c r="AO119" s="854">
        <f t="shared" si="75"/>
        <v>151.48792398361775</v>
      </c>
      <c r="AP119" s="856">
        <f t="shared" si="76"/>
        <v>100.99194932241183</v>
      </c>
      <c r="AQ119" s="4"/>
      <c r="AR119" s="850">
        <f>'Recycling - Case 3'!G129</f>
        <v>850.86833748221932</v>
      </c>
      <c r="AS119" s="846">
        <v>1</v>
      </c>
      <c r="AT119" s="846">
        <f t="shared" si="77"/>
        <v>0.05</v>
      </c>
      <c r="AU119" s="832">
        <f t="shared" si="78"/>
        <v>21.271708437055484</v>
      </c>
      <c r="AV119" s="832">
        <f t="shared" si="79"/>
        <v>21.271708437055484</v>
      </c>
      <c r="AW119" s="835">
        <f t="shared" si="80"/>
        <v>0</v>
      </c>
      <c r="AX119" s="832">
        <f t="shared" si="91"/>
        <v>307.11134254008027</v>
      </c>
      <c r="AY119" s="832">
        <f t="shared" si="49"/>
        <v>17.675335838720251</v>
      </c>
      <c r="AZ119" s="930">
        <f t="shared" si="47"/>
        <v>11.783557225813501</v>
      </c>
      <c r="BA119" s="4"/>
      <c r="BB119" s="1055">
        <f t="shared" si="81"/>
        <v>178.16023399239415</v>
      </c>
      <c r="BC119" s="1056">
        <f t="shared" si="82"/>
        <v>100.99194932241183</v>
      </c>
      <c r="BD119" s="1082">
        <f t="shared" si="90"/>
        <v>11.783557225813501</v>
      </c>
      <c r="BE119" s="1056">
        <f t="shared" si="54"/>
        <v>290.93574054061952</v>
      </c>
      <c r="BF119" s="167">
        <v>0</v>
      </c>
      <c r="BG119" s="1075">
        <f t="shared" si="83"/>
        <v>290.93574054061952</v>
      </c>
      <c r="BI119" s="1055">
        <f t="shared" si="84"/>
        <v>178.16023399239415</v>
      </c>
      <c r="BJ119" s="1056">
        <f t="shared" si="85"/>
        <v>100.99194932241183</v>
      </c>
      <c r="BK119" s="1082">
        <f t="shared" si="86"/>
        <v>11.783557225813501</v>
      </c>
      <c r="BL119" s="1056">
        <f t="shared" si="55"/>
        <v>290.93574054061952</v>
      </c>
      <c r="BM119" s="167">
        <v>0</v>
      </c>
      <c r="BN119" s="1075">
        <f t="shared" si="87"/>
        <v>290.93574054061952</v>
      </c>
    </row>
    <row r="120" spans="1:66" ht="15.75" thickBot="1">
      <c r="A120" s="928">
        <f>'Input data'!A150</f>
        <v>2050</v>
      </c>
      <c r="B120" s="828">
        <f>'Input data'!B150</f>
        <v>75.517908999999989</v>
      </c>
      <c r="C120" s="828">
        <f>'Recycling - Case 3'!AK130/B120</f>
        <v>265.67597098179937</v>
      </c>
      <c r="D120" s="829">
        <f>'Recycling - Case 3'!AM130</f>
        <v>0.11108875335226075</v>
      </c>
      <c r="E120" s="830">
        <f>'Recycling - Case 3'!BE130</f>
        <v>0.22140713376170404</v>
      </c>
      <c r="F120" s="830">
        <f>'Recycling - Case 3'!BF130</f>
        <v>0.28080414434615841</v>
      </c>
      <c r="G120" s="830">
        <f>'Recycling - Case 3'!BG130</f>
        <v>5.3006967562036801E-2</v>
      </c>
      <c r="H120" s="830">
        <f>'Recycling - Case 3'!BH130</f>
        <v>0</v>
      </c>
      <c r="I120" s="830">
        <f>'Recycling - Case 3'!BI130</f>
        <v>0</v>
      </c>
      <c r="J120" s="830">
        <f>'Recycling - Case 3'!BJ130</f>
        <v>0</v>
      </c>
      <c r="K120" s="830">
        <f>'Recycling - Case 3'!BK130</f>
        <v>0.44478175433010064</v>
      </c>
      <c r="L120" s="831">
        <f t="shared" si="89"/>
        <v>1</v>
      </c>
      <c r="M120" s="4"/>
      <c r="N120" s="840">
        <f t="shared" si="56"/>
        <v>2228.8062963921584</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7">
        <f>'Recycling - Case 3'!AM170</f>
        <v>786.00488630833911</v>
      </c>
      <c r="Y120" s="858">
        <f>Parameters!S290</f>
        <v>0.71500000000000008</v>
      </c>
      <c r="Z120" s="858">
        <f t="shared" si="63"/>
        <v>0.4</v>
      </c>
      <c r="AA120" s="859">
        <f>X120*Z120*Y120*$D$4</f>
        <v>112.39869874209252</v>
      </c>
      <c r="AB120" s="859">
        <f t="shared" si="65"/>
        <v>112.39869874209252</v>
      </c>
      <c r="AC120" s="860">
        <f t="shared" si="66"/>
        <v>0</v>
      </c>
      <c r="AD120" s="859">
        <f t="shared" si="67"/>
        <v>3028.3961305102584</v>
      </c>
      <c r="AE120" s="859">
        <f t="shared" si="68"/>
        <v>149.5063853564242</v>
      </c>
      <c r="AF120" s="861">
        <f t="shared" si="69"/>
        <v>99.670923570949469</v>
      </c>
      <c r="AG120" s="4"/>
      <c r="AH120" s="857">
        <f>'Recycling - Case 3'!AM210</f>
        <v>786.00488630833911</v>
      </c>
      <c r="AI120" s="858">
        <f>Parameters!S290</f>
        <v>0.71500000000000008</v>
      </c>
      <c r="AJ120" s="858">
        <f t="shared" si="70"/>
        <v>0.4</v>
      </c>
      <c r="AK120" s="859">
        <f t="shared" si="71"/>
        <v>112.39869874209252</v>
      </c>
      <c r="AL120" s="859">
        <f t="shared" si="72"/>
        <v>112.39869874209252</v>
      </c>
      <c r="AM120" s="860">
        <f t="shared" si="73"/>
        <v>0</v>
      </c>
      <c r="AN120" s="859">
        <f t="shared" si="74"/>
        <v>3028.3961305102584</v>
      </c>
      <c r="AO120" s="859">
        <f t="shared" si="75"/>
        <v>149.5063853564242</v>
      </c>
      <c r="AP120" s="861">
        <f t="shared" si="76"/>
        <v>99.670923570949469</v>
      </c>
      <c r="AQ120" s="4"/>
      <c r="AR120" s="851">
        <f>'Recycling - Case 3'!G130</f>
        <v>855.21188418968472</v>
      </c>
      <c r="AS120" s="848">
        <f>Parameters!R221</f>
        <v>1</v>
      </c>
      <c r="AT120" s="848">
        <f t="shared" si="77"/>
        <v>0.05</v>
      </c>
      <c r="AU120" s="843">
        <f t="shared" si="78"/>
        <v>21.38029710474212</v>
      </c>
      <c r="AV120" s="843">
        <f t="shared" si="79"/>
        <v>21.38029710474212</v>
      </c>
      <c r="AW120" s="844">
        <f t="shared" si="80"/>
        <v>0</v>
      </c>
      <c r="AX120" s="843">
        <f t="shared" si="91"/>
        <v>310.60686737043324</v>
      </c>
      <c r="AY120" s="843">
        <f t="shared" si="49"/>
        <v>17.884772274389132</v>
      </c>
      <c r="AZ120" s="931">
        <f t="shared" si="47"/>
        <v>11.923181516259421</v>
      </c>
      <c r="BA120" s="4"/>
      <c r="BB120" s="1057">
        <f t="shared" si="81"/>
        <v>173.47400346080323</v>
      </c>
      <c r="BC120" s="1058">
        <f t="shared" si="82"/>
        <v>99.670923570949469</v>
      </c>
      <c r="BD120" s="1083">
        <f t="shared" si="90"/>
        <v>11.923181516259421</v>
      </c>
      <c r="BE120" s="1058">
        <f t="shared" si="54"/>
        <v>285.06810854801211</v>
      </c>
      <c r="BF120" s="1059">
        <v>0</v>
      </c>
      <c r="BG120" s="1076">
        <f t="shared" si="83"/>
        <v>285.06810854801211</v>
      </c>
      <c r="BI120" s="1057">
        <f t="shared" si="84"/>
        <v>173.47400346080323</v>
      </c>
      <c r="BJ120" s="1058">
        <f t="shared" si="85"/>
        <v>99.670923570949469</v>
      </c>
      <c r="BK120" s="1083">
        <f t="shared" si="86"/>
        <v>11.923181516259421</v>
      </c>
      <c r="BL120" s="1058">
        <f t="shared" si="55"/>
        <v>285.06810854801211</v>
      </c>
      <c r="BM120" s="1059">
        <v>0</v>
      </c>
      <c r="BN120" s="1076">
        <f t="shared" si="87"/>
        <v>285.06810854801211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88" t="s">
        <v>736</v>
      </c>
      <c r="B1" s="1189"/>
      <c r="C1" s="115"/>
      <c r="D1" s="115"/>
      <c r="E1" s="115"/>
      <c r="F1" s="116"/>
    </row>
    <row r="2" spans="1:23">
      <c r="A2" s="127"/>
      <c r="F2" s="130"/>
    </row>
    <row r="3" spans="1:23" ht="30">
      <c r="A3" s="157" t="s">
        <v>175</v>
      </c>
      <c r="C3" s="1190" t="s">
        <v>177</v>
      </c>
      <c r="D3" s="1190" t="s">
        <v>178</v>
      </c>
      <c r="E3" s="1191"/>
      <c r="F3" s="1108" t="s">
        <v>185</v>
      </c>
    </row>
    <row r="4" spans="1:23">
      <c r="A4" s="127" t="s">
        <v>176</v>
      </c>
      <c r="B4" t="s">
        <v>179</v>
      </c>
      <c r="C4">
        <v>10</v>
      </c>
      <c r="D4">
        <v>4</v>
      </c>
      <c r="F4" s="1994" t="s">
        <v>184</v>
      </c>
    </row>
    <row r="5" spans="1:23">
      <c r="A5" s="127" t="s">
        <v>180</v>
      </c>
      <c r="B5" t="s">
        <v>179</v>
      </c>
      <c r="C5">
        <v>2</v>
      </c>
      <c r="D5">
        <v>0.8</v>
      </c>
      <c r="F5" s="1994"/>
    </row>
    <row r="6" spans="1:23">
      <c r="A6" s="157" t="s">
        <v>181</v>
      </c>
      <c r="F6" s="1994"/>
    </row>
    <row r="7" spans="1:23">
      <c r="A7" s="127" t="s">
        <v>176</v>
      </c>
      <c r="B7" t="s">
        <v>183</v>
      </c>
      <c r="C7">
        <v>0.6</v>
      </c>
      <c r="D7">
        <v>0.24</v>
      </c>
      <c r="F7" s="1994"/>
    </row>
    <row r="8" spans="1:23" ht="15.75" thickBot="1">
      <c r="A8" s="172" t="s">
        <v>180</v>
      </c>
      <c r="B8" s="163" t="s">
        <v>183</v>
      </c>
      <c r="C8" s="1107" t="s">
        <v>182</v>
      </c>
      <c r="D8" s="1107" t="s">
        <v>182</v>
      </c>
      <c r="E8" s="163"/>
      <c r="F8" s="1995"/>
    </row>
    <row r="9" spans="1:23" ht="15.75" thickBot="1">
      <c r="C9" s="395"/>
      <c r="D9" s="395"/>
      <c r="F9" s="1191"/>
    </row>
    <row r="10" spans="1:23" ht="15.75" thickBot="1">
      <c r="B10" s="1979" t="s">
        <v>510</v>
      </c>
      <c r="C10" s="1980"/>
      <c r="D10" s="1980"/>
      <c r="E10" s="1980"/>
      <c r="F10" s="1980"/>
      <c r="G10" s="1980"/>
      <c r="H10" s="1980"/>
      <c r="I10" s="1980"/>
      <c r="J10" s="1981"/>
      <c r="K10" s="1976" t="s">
        <v>509</v>
      </c>
      <c r="L10" s="1977"/>
      <c r="M10" s="1977"/>
      <c r="N10" s="1977"/>
      <c r="O10" s="1977"/>
      <c r="P10" s="1977"/>
      <c r="Q10" s="1977"/>
      <c r="R10" s="1977"/>
      <c r="S10" s="1978"/>
      <c r="T10" s="1982" t="s">
        <v>511</v>
      </c>
      <c r="U10" s="1983"/>
      <c r="V10" s="1983"/>
      <c r="W10" s="1984"/>
    </row>
    <row r="11" spans="1:23" ht="28.9" customHeight="1">
      <c r="A11" s="1992" t="s">
        <v>217</v>
      </c>
      <c r="B11" s="774" t="s">
        <v>619</v>
      </c>
      <c r="C11" s="1990" t="s">
        <v>495</v>
      </c>
      <c r="D11" s="1991"/>
      <c r="E11" s="1990" t="s">
        <v>289</v>
      </c>
      <c r="F11" s="1991"/>
      <c r="G11" s="1990" t="s">
        <v>290</v>
      </c>
      <c r="H11" s="1998"/>
      <c r="I11" s="1996" t="s">
        <v>287</v>
      </c>
      <c r="J11" s="1997"/>
      <c r="K11" s="474" t="s">
        <v>507</v>
      </c>
      <c r="L11" s="1985" t="s">
        <v>495</v>
      </c>
      <c r="M11" s="1986"/>
      <c r="N11" s="1985" t="s">
        <v>289</v>
      </c>
      <c r="O11" s="1986"/>
      <c r="P11" s="1985" t="s">
        <v>290</v>
      </c>
      <c r="Q11" s="1987"/>
      <c r="R11" s="1988" t="s">
        <v>287</v>
      </c>
      <c r="S11" s="1989"/>
      <c r="T11" s="1974" t="s">
        <v>508</v>
      </c>
      <c r="U11" s="1975"/>
      <c r="V11" s="1974" t="s">
        <v>783</v>
      </c>
      <c r="W11" s="1975"/>
    </row>
    <row r="12" spans="1:23" ht="29.45" customHeight="1" thickBot="1">
      <c r="A12" s="1993"/>
      <c r="B12" s="473" t="s">
        <v>228</v>
      </c>
      <c r="C12" s="1621" t="s">
        <v>234</v>
      </c>
      <c r="D12" s="1622" t="s">
        <v>176</v>
      </c>
      <c r="E12" s="1621" t="s">
        <v>234</v>
      </c>
      <c r="F12" s="1622" t="s">
        <v>176</v>
      </c>
      <c r="G12" s="1621" t="s">
        <v>234</v>
      </c>
      <c r="H12" s="1623" t="s">
        <v>176</v>
      </c>
      <c r="I12" s="1624" t="s">
        <v>234</v>
      </c>
      <c r="J12" s="1625" t="s">
        <v>176</v>
      </c>
      <c r="K12" s="475" t="s">
        <v>228</v>
      </c>
      <c r="L12" s="475" t="s">
        <v>234</v>
      </c>
      <c r="M12" s="1615" t="s">
        <v>176</v>
      </c>
      <c r="N12" s="475" t="s">
        <v>234</v>
      </c>
      <c r="O12" s="1615" t="s">
        <v>176</v>
      </c>
      <c r="P12" s="475" t="s">
        <v>234</v>
      </c>
      <c r="Q12" s="1616" t="s">
        <v>176</v>
      </c>
      <c r="R12" s="1617" t="s">
        <v>234</v>
      </c>
      <c r="S12" s="1618" t="s">
        <v>176</v>
      </c>
      <c r="T12" s="1619" t="s">
        <v>234</v>
      </c>
      <c r="U12" s="1620" t="s">
        <v>176</v>
      </c>
      <c r="V12" s="1619" t="s">
        <v>234</v>
      </c>
      <c r="W12" s="1620" t="s">
        <v>176</v>
      </c>
    </row>
    <row r="13" spans="1:23" ht="14.45" hidden="1" customHeight="1">
      <c r="A13" s="123">
        <f>'Input data'!A50</f>
        <v>1950</v>
      </c>
      <c r="B13" s="1192"/>
      <c r="C13">
        <v>0</v>
      </c>
      <c r="D13">
        <v>0</v>
      </c>
      <c r="E13">
        <v>0</v>
      </c>
      <c r="F13">
        <v>0</v>
      </c>
      <c r="G13" s="178">
        <f>C13*$D$5*'Input data'!K50/1000-E13</f>
        <v>0</v>
      </c>
      <c r="H13" s="178">
        <f>D13*$D$4*'Input data'!K50/1000-F13</f>
        <v>0</v>
      </c>
      <c r="I13" s="178">
        <v>0</v>
      </c>
      <c r="J13" s="178">
        <f>D13*$D$7*'Input data'!K50/1000</f>
        <v>0</v>
      </c>
      <c r="K13" s="1192"/>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2"/>
      <c r="C14" t="e">
        <f>'Input data'!#REF!</f>
        <v>#REF!</v>
      </c>
      <c r="D14" t="e">
        <f>'Input data'!#REF!</f>
        <v>#REF!</v>
      </c>
      <c r="E14">
        <v>0</v>
      </c>
      <c r="F14">
        <v>0</v>
      </c>
      <c r="G14" s="178" t="e">
        <f>C14*$D$5*'Input data'!K51/1000-E14</f>
        <v>#REF!</v>
      </c>
      <c r="H14" s="178" t="e">
        <f>D14*$D$4*'Input data'!K51/1000-F14</f>
        <v>#REF!</v>
      </c>
      <c r="J14" s="178" t="e">
        <f>D14*$D$7*'Input data'!K51/1000</f>
        <v>#REF!</v>
      </c>
      <c r="K14" s="1192"/>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2"/>
      <c r="C15" t="e">
        <f>'Input data'!#REF!</f>
        <v>#REF!</v>
      </c>
      <c r="D15" t="e">
        <f>'Input data'!#REF!</f>
        <v>#REF!</v>
      </c>
      <c r="E15">
        <v>0</v>
      </c>
      <c r="F15">
        <v>0</v>
      </c>
      <c r="G15" s="178" t="e">
        <f>C15*$D$5*'Input data'!K52/1000-E15</f>
        <v>#REF!</v>
      </c>
      <c r="H15" s="178" t="e">
        <f>D15*$D$4*'Input data'!K52/1000-F15</f>
        <v>#REF!</v>
      </c>
      <c r="J15" s="178" t="e">
        <f>D15*$D$7*'Input data'!K52/1000</f>
        <v>#REF!</v>
      </c>
      <c r="K15" s="1192"/>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2"/>
      <c r="C16" t="e">
        <f>'Input data'!#REF!</f>
        <v>#REF!</v>
      </c>
      <c r="D16" t="e">
        <f>'Input data'!#REF!</f>
        <v>#REF!</v>
      </c>
      <c r="E16">
        <v>0</v>
      </c>
      <c r="F16">
        <v>0</v>
      </c>
      <c r="G16" s="178" t="e">
        <f>C16*$D$5*'Input data'!K53/1000-E16</f>
        <v>#REF!</v>
      </c>
      <c r="H16" s="178" t="e">
        <f>D16*$D$4*'Input data'!K53/1000-F16</f>
        <v>#REF!</v>
      </c>
      <c r="J16" s="178" t="e">
        <f>D16*$D$7*'Input data'!K53/1000</f>
        <v>#REF!</v>
      </c>
      <c r="K16" s="1192"/>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2"/>
      <c r="C17" t="e">
        <f>'Input data'!#REF!</f>
        <v>#REF!</v>
      </c>
      <c r="D17" t="e">
        <f>'Input data'!#REF!</f>
        <v>#REF!</v>
      </c>
      <c r="E17">
        <v>0</v>
      </c>
      <c r="F17">
        <v>0</v>
      </c>
      <c r="G17" s="178" t="e">
        <f>C17*$D$5*'Input data'!K54/1000-E17</f>
        <v>#REF!</v>
      </c>
      <c r="H17" s="178" t="e">
        <f>D17*$D$4*'Input data'!K54/1000-F17</f>
        <v>#REF!</v>
      </c>
      <c r="J17" s="178" t="e">
        <f>D17*$D$7*'Input data'!K54/1000</f>
        <v>#REF!</v>
      </c>
      <c r="K17" s="1192"/>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2"/>
      <c r="C18" t="e">
        <f>'Input data'!#REF!</f>
        <v>#REF!</v>
      </c>
      <c r="D18" t="e">
        <f>'Input data'!#REF!</f>
        <v>#REF!</v>
      </c>
      <c r="E18">
        <v>0</v>
      </c>
      <c r="F18">
        <v>0</v>
      </c>
      <c r="G18" s="178" t="e">
        <f>C18*$D$5*'Input data'!K55/1000-E18</f>
        <v>#REF!</v>
      </c>
      <c r="H18" s="178" t="e">
        <f>D18*$D$4*'Input data'!K55/1000-F18</f>
        <v>#REF!</v>
      </c>
      <c r="J18" s="178" t="e">
        <f>D18*$D$7*'Input data'!K55/1000</f>
        <v>#REF!</v>
      </c>
      <c r="K18" s="1192"/>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2"/>
      <c r="C19" t="e">
        <f>'Input data'!#REF!</f>
        <v>#REF!</v>
      </c>
      <c r="D19" t="e">
        <f>'Input data'!#REF!</f>
        <v>#REF!</v>
      </c>
      <c r="E19">
        <v>0</v>
      </c>
      <c r="F19">
        <v>0</v>
      </c>
      <c r="G19" s="178" t="e">
        <f>C19*$D$5*'Input data'!K56/1000-E19</f>
        <v>#REF!</v>
      </c>
      <c r="H19" s="178" t="e">
        <f>D19*$D$4*'Input data'!K56/1000-F19</f>
        <v>#REF!</v>
      </c>
      <c r="J19" s="178" t="e">
        <f>D19*$D$7*'Input data'!K56/1000</f>
        <v>#REF!</v>
      </c>
      <c r="K19" s="1192"/>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2"/>
      <c r="C20" t="e">
        <f>'Input data'!#REF!</f>
        <v>#REF!</v>
      </c>
      <c r="D20" t="e">
        <f>'Input data'!#REF!</f>
        <v>#REF!</v>
      </c>
      <c r="E20">
        <v>0</v>
      </c>
      <c r="F20">
        <v>0</v>
      </c>
      <c r="G20" s="178" t="e">
        <f>C20*$D$5*'Input data'!K57/1000-E20</f>
        <v>#REF!</v>
      </c>
      <c r="H20" s="178" t="e">
        <f>D20*$D$4*'Input data'!K57/1000-F20</f>
        <v>#REF!</v>
      </c>
      <c r="J20" s="178" t="e">
        <f>D20*$D$7*'Input data'!K57/1000</f>
        <v>#REF!</v>
      </c>
      <c r="K20" s="1192"/>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2"/>
      <c r="C21" t="e">
        <f>'Input data'!#REF!</f>
        <v>#REF!</v>
      </c>
      <c r="D21" t="e">
        <f>'Input data'!#REF!</f>
        <v>#REF!</v>
      </c>
      <c r="E21">
        <v>0</v>
      </c>
      <c r="F21">
        <v>0</v>
      </c>
      <c r="G21" s="178" t="e">
        <f>C21*$D$5*'Input data'!K58/1000-E21</f>
        <v>#REF!</v>
      </c>
      <c r="H21" s="178" t="e">
        <f>D21*$D$4*'Input data'!K58/1000-F21</f>
        <v>#REF!</v>
      </c>
      <c r="J21" s="178" t="e">
        <f>D21*$D$7*'Input data'!K58/1000</f>
        <v>#REF!</v>
      </c>
      <c r="K21" s="1192"/>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2"/>
      <c r="C22" t="e">
        <f>'Input data'!#REF!</f>
        <v>#REF!</v>
      </c>
      <c r="D22" t="e">
        <f>'Input data'!#REF!</f>
        <v>#REF!</v>
      </c>
      <c r="E22">
        <v>0</v>
      </c>
      <c r="F22">
        <v>0</v>
      </c>
      <c r="G22" s="178" t="e">
        <f>C22*$D$5*'Input data'!K59/1000-E22</f>
        <v>#REF!</v>
      </c>
      <c r="H22" s="178" t="e">
        <f>D22*$D$4*'Input data'!K59/1000-F22</f>
        <v>#REF!</v>
      </c>
      <c r="J22" s="178" t="e">
        <f>D22*$D$7*'Input data'!K59/1000</f>
        <v>#REF!</v>
      </c>
      <c r="K22" s="1192"/>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2"/>
      <c r="C23" t="e">
        <f>'Input data'!#REF!</f>
        <v>#REF!</v>
      </c>
      <c r="D23" t="e">
        <f>'Input data'!#REF!</f>
        <v>#REF!</v>
      </c>
      <c r="E23">
        <v>0</v>
      </c>
      <c r="F23">
        <v>0</v>
      </c>
      <c r="G23" s="178" t="e">
        <f>C23*$D$5*'Input data'!K60/1000-E23</f>
        <v>#REF!</v>
      </c>
      <c r="H23" s="178" t="e">
        <f>D23*$D$4*'Input data'!K60/1000-F23</f>
        <v>#REF!</v>
      </c>
      <c r="J23" s="178" t="e">
        <f>D23*$D$7*'Input data'!K60/1000</f>
        <v>#REF!</v>
      </c>
      <c r="K23" s="1192"/>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2"/>
      <c r="C24" t="e">
        <f>'Input data'!#REF!</f>
        <v>#REF!</v>
      </c>
      <c r="D24" t="e">
        <f>'Input data'!#REF!</f>
        <v>#REF!</v>
      </c>
      <c r="E24">
        <v>0</v>
      </c>
      <c r="F24">
        <v>0</v>
      </c>
      <c r="G24" s="178" t="e">
        <f>C24*$D$5*'Input data'!K61/1000-E24</f>
        <v>#REF!</v>
      </c>
      <c r="H24" s="178" t="e">
        <f>D24*$D$4*'Input data'!K61/1000-F24</f>
        <v>#REF!</v>
      </c>
      <c r="J24" s="178" t="e">
        <f>D24*$D$7*'Input data'!K61/1000</f>
        <v>#REF!</v>
      </c>
      <c r="K24" s="1192"/>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2"/>
      <c r="C25" t="e">
        <f>'Input data'!#REF!</f>
        <v>#REF!</v>
      </c>
      <c r="D25" t="e">
        <f>'Input data'!#REF!</f>
        <v>#REF!</v>
      </c>
      <c r="E25">
        <v>0</v>
      </c>
      <c r="F25">
        <v>0</v>
      </c>
      <c r="G25" s="178" t="e">
        <f>C25*$D$5*'Input data'!K62/1000-E25</f>
        <v>#REF!</v>
      </c>
      <c r="H25" s="178" t="e">
        <f>D25*$D$4*'Input data'!K62/1000-F25</f>
        <v>#REF!</v>
      </c>
      <c r="J25" s="178" t="e">
        <f>D25*$D$7*'Input data'!K62/1000</f>
        <v>#REF!</v>
      </c>
      <c r="K25" s="1192"/>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2"/>
      <c r="C26" t="e">
        <f>'Input data'!#REF!</f>
        <v>#REF!</v>
      </c>
      <c r="D26" t="e">
        <f>'Input data'!#REF!</f>
        <v>#REF!</v>
      </c>
      <c r="E26">
        <v>0</v>
      </c>
      <c r="F26">
        <v>0</v>
      </c>
      <c r="G26" s="178" t="e">
        <f>C26*$D$5*'Input data'!K63/1000-E26</f>
        <v>#REF!</v>
      </c>
      <c r="H26" s="178" t="e">
        <f>D26*$D$4*'Input data'!K63/1000-F26</f>
        <v>#REF!</v>
      </c>
      <c r="J26" s="178" t="e">
        <f>D26*$D$7*'Input data'!K63/1000</f>
        <v>#REF!</v>
      </c>
      <c r="K26" s="1192"/>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2"/>
      <c r="C27" t="e">
        <f>'Input data'!#REF!</f>
        <v>#REF!</v>
      </c>
      <c r="D27" t="e">
        <f>'Input data'!#REF!</f>
        <v>#REF!</v>
      </c>
      <c r="E27">
        <v>0</v>
      </c>
      <c r="F27">
        <v>0</v>
      </c>
      <c r="G27" s="178" t="e">
        <f>C27*$D$5*'Input data'!K64/1000-E27</f>
        <v>#REF!</v>
      </c>
      <c r="H27" s="178" t="e">
        <f>D27*$D$4*'Input data'!K64/1000-F27</f>
        <v>#REF!</v>
      </c>
      <c r="J27" s="178" t="e">
        <f>D27*$D$7*'Input data'!K64/1000</f>
        <v>#REF!</v>
      </c>
      <c r="K27" s="1192"/>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2"/>
      <c r="C28" t="e">
        <f>'Input data'!#REF!</f>
        <v>#REF!</v>
      </c>
      <c r="D28" t="e">
        <f>'Input data'!#REF!</f>
        <v>#REF!</v>
      </c>
      <c r="E28">
        <v>0</v>
      </c>
      <c r="F28">
        <v>0</v>
      </c>
      <c r="G28" s="178" t="e">
        <f>C28*$D$5*'Input data'!K65/1000-E28</f>
        <v>#REF!</v>
      </c>
      <c r="H28" s="178" t="e">
        <f>D28*$D$4*'Input data'!K65/1000-F28</f>
        <v>#REF!</v>
      </c>
      <c r="J28" s="178" t="e">
        <f>D28*$D$7*'Input data'!K65/1000</f>
        <v>#REF!</v>
      </c>
      <c r="K28" s="1192"/>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2"/>
      <c r="C29" t="e">
        <f>'Input data'!#REF!</f>
        <v>#REF!</v>
      </c>
      <c r="D29" t="e">
        <f>'Input data'!#REF!</f>
        <v>#REF!</v>
      </c>
      <c r="E29">
        <v>0</v>
      </c>
      <c r="F29">
        <v>0</v>
      </c>
      <c r="G29" s="178" t="e">
        <f>C29*$D$5*'Input data'!K66/1000-E29</f>
        <v>#REF!</v>
      </c>
      <c r="H29" s="178" t="e">
        <f>D29*$D$4*'Input data'!K66/1000-F29</f>
        <v>#REF!</v>
      </c>
      <c r="J29" s="178" t="e">
        <f>D29*$D$7*'Input data'!K66/1000</f>
        <v>#REF!</v>
      </c>
      <c r="K29" s="1192"/>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2"/>
      <c r="C30" t="e">
        <f>'Input data'!#REF!</f>
        <v>#REF!</v>
      </c>
      <c r="D30" t="e">
        <f>'Input data'!#REF!</f>
        <v>#REF!</v>
      </c>
      <c r="E30">
        <v>0</v>
      </c>
      <c r="F30">
        <v>0</v>
      </c>
      <c r="G30" s="178" t="e">
        <f>C30*$D$5*'Input data'!K67/1000-E30</f>
        <v>#REF!</v>
      </c>
      <c r="H30" s="178" t="e">
        <f>D30*$D$4*'Input data'!K67/1000-F30</f>
        <v>#REF!</v>
      </c>
      <c r="J30" s="178" t="e">
        <f>D30*$D$7*'Input data'!K67/1000</f>
        <v>#REF!</v>
      </c>
      <c r="K30" s="1192"/>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2"/>
      <c r="C31" t="e">
        <f>'Input data'!#REF!</f>
        <v>#REF!</v>
      </c>
      <c r="D31" t="e">
        <f>'Input data'!#REF!</f>
        <v>#REF!</v>
      </c>
      <c r="E31">
        <v>0</v>
      </c>
      <c r="F31">
        <v>0</v>
      </c>
      <c r="G31" s="178" t="e">
        <f>C31*$D$5*'Input data'!K68/1000-E31</f>
        <v>#REF!</v>
      </c>
      <c r="H31" s="178" t="e">
        <f>D31*$D$4*'Input data'!K68/1000-F31</f>
        <v>#REF!</v>
      </c>
      <c r="J31" s="178" t="e">
        <f>D31*$D$7*'Input data'!K68/1000</f>
        <v>#REF!</v>
      </c>
      <c r="K31" s="1192"/>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2"/>
      <c r="C32" t="e">
        <f>'Input data'!#REF!</f>
        <v>#REF!</v>
      </c>
      <c r="D32" t="e">
        <f>'Input data'!#REF!</f>
        <v>#REF!</v>
      </c>
      <c r="E32">
        <v>0</v>
      </c>
      <c r="F32">
        <v>0</v>
      </c>
      <c r="G32" s="178" t="e">
        <f>C32*$D$5*'Input data'!K69/1000-E32</f>
        <v>#REF!</v>
      </c>
      <c r="H32" s="178" t="e">
        <f>D32*$D$4*'Input data'!K69/1000-F32</f>
        <v>#REF!</v>
      </c>
      <c r="J32" s="178" t="e">
        <f>D32*$D$7*'Input data'!K69/1000</f>
        <v>#REF!</v>
      </c>
      <c r="K32" s="1192"/>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2"/>
      <c r="C33" t="e">
        <f>'Input data'!#REF!</f>
        <v>#REF!</v>
      </c>
      <c r="D33" t="e">
        <f>'Input data'!#REF!</f>
        <v>#REF!</v>
      </c>
      <c r="E33">
        <v>0</v>
      </c>
      <c r="F33">
        <v>0</v>
      </c>
      <c r="G33" s="178" t="e">
        <f>C33*$D$5*'Input data'!K70/1000-E33</f>
        <v>#REF!</v>
      </c>
      <c r="H33" s="178" t="e">
        <f>D33*$D$4*'Input data'!K70/1000-F33</f>
        <v>#REF!</v>
      </c>
      <c r="J33" s="178" t="e">
        <f>D33*$D$7*'Input data'!K70/1000</f>
        <v>#REF!</v>
      </c>
      <c r="K33" s="1192"/>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2"/>
      <c r="C34" t="e">
        <f>'Input data'!#REF!</f>
        <v>#REF!</v>
      </c>
      <c r="D34" t="e">
        <f>'Input data'!#REF!</f>
        <v>#REF!</v>
      </c>
      <c r="E34">
        <v>0</v>
      </c>
      <c r="F34">
        <v>0</v>
      </c>
      <c r="G34" s="178" t="e">
        <f>C34*$D$5*'Input data'!K71/1000-E34</f>
        <v>#REF!</v>
      </c>
      <c r="H34" s="178" t="e">
        <f>D34*$D$4*'Input data'!K71/1000-F34</f>
        <v>#REF!</v>
      </c>
      <c r="J34" s="178" t="e">
        <f>D34*$D$7*'Input data'!K71/1000</f>
        <v>#REF!</v>
      </c>
      <c r="K34" s="1192"/>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2"/>
      <c r="C35" t="e">
        <f>'Input data'!#REF!</f>
        <v>#REF!</v>
      </c>
      <c r="D35" t="e">
        <f>'Input data'!#REF!</f>
        <v>#REF!</v>
      </c>
      <c r="E35">
        <v>0</v>
      </c>
      <c r="F35">
        <v>0</v>
      </c>
      <c r="G35" s="178" t="e">
        <f>C35*$D$5*'Input data'!K72/1000-E35</f>
        <v>#REF!</v>
      </c>
      <c r="H35" s="178" t="e">
        <f>D35*$D$4*'Input data'!K72/1000-F35</f>
        <v>#REF!</v>
      </c>
      <c r="J35" s="178" t="e">
        <f>D35*$D$7*'Input data'!K72/1000</f>
        <v>#REF!</v>
      </c>
      <c r="K35" s="1192"/>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2"/>
      <c r="C36" t="e">
        <f>'Input data'!#REF!</f>
        <v>#REF!</v>
      </c>
      <c r="D36" t="e">
        <f>'Input data'!#REF!</f>
        <v>#REF!</v>
      </c>
      <c r="E36">
        <v>0</v>
      </c>
      <c r="F36">
        <v>0</v>
      </c>
      <c r="G36" s="178" t="e">
        <f>C36*$D$5*'Input data'!K73/1000-E36</f>
        <v>#REF!</v>
      </c>
      <c r="H36" s="178" t="e">
        <f>D36*$D$4*'Input data'!K73/1000-F36</f>
        <v>#REF!</v>
      </c>
      <c r="J36" s="178" t="e">
        <f>D36*$D$7*'Input data'!K73/1000</f>
        <v>#REF!</v>
      </c>
      <c r="K36" s="1192"/>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2"/>
      <c r="C37" t="e">
        <f>'Input data'!#REF!</f>
        <v>#REF!</v>
      </c>
      <c r="D37" t="e">
        <f>'Input data'!#REF!</f>
        <v>#REF!</v>
      </c>
      <c r="E37">
        <v>0</v>
      </c>
      <c r="F37">
        <v>0</v>
      </c>
      <c r="G37" s="178" t="e">
        <f>C37*$D$5*'Input data'!K74/1000-E37</f>
        <v>#REF!</v>
      </c>
      <c r="H37" s="178" t="e">
        <f>D37*$D$4*'Input data'!K74/1000-F37</f>
        <v>#REF!</v>
      </c>
      <c r="J37" s="178" t="e">
        <f>D37*$D$7*'Input data'!K74/1000</f>
        <v>#REF!</v>
      </c>
      <c r="K37" s="1192"/>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2"/>
      <c r="C38" t="e">
        <f>'Input data'!#REF!</f>
        <v>#REF!</v>
      </c>
      <c r="D38" t="e">
        <f>'Input data'!#REF!</f>
        <v>#REF!</v>
      </c>
      <c r="E38">
        <v>0</v>
      </c>
      <c r="F38">
        <v>0</v>
      </c>
      <c r="G38" s="178" t="e">
        <f>C38*$D$5*'Input data'!K75/1000-E38</f>
        <v>#REF!</v>
      </c>
      <c r="H38" s="178" t="e">
        <f>D38*$D$4*'Input data'!K75/1000-F38</f>
        <v>#REF!</v>
      </c>
      <c r="J38" s="178" t="e">
        <f>D38*$D$7*'Input data'!K75/1000</f>
        <v>#REF!</v>
      </c>
      <c r="K38" s="1192"/>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2"/>
      <c r="C39" t="e">
        <f>'Input data'!#REF!</f>
        <v>#REF!</v>
      </c>
      <c r="D39" t="e">
        <f>'Input data'!#REF!</f>
        <v>#REF!</v>
      </c>
      <c r="E39">
        <v>0</v>
      </c>
      <c r="F39">
        <v>0</v>
      </c>
      <c r="G39" s="178" t="e">
        <f>C39*$D$5*'Input data'!K76/1000-E39</f>
        <v>#REF!</v>
      </c>
      <c r="H39" s="178" t="e">
        <f>D39*$D$4*'Input data'!K76/1000-F39</f>
        <v>#REF!</v>
      </c>
      <c r="J39" s="178" t="e">
        <f>D39*$D$7*'Input data'!K76/1000</f>
        <v>#REF!</v>
      </c>
      <c r="K39" s="1192"/>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2"/>
      <c r="C40" t="e">
        <f>'Input data'!#REF!</f>
        <v>#REF!</v>
      </c>
      <c r="D40" t="e">
        <f>'Input data'!#REF!</f>
        <v>#REF!</v>
      </c>
      <c r="E40">
        <v>0</v>
      </c>
      <c r="F40">
        <v>0</v>
      </c>
      <c r="G40" s="178" t="e">
        <f>C40*$D$5*'Input data'!K77/1000-E40</f>
        <v>#REF!</v>
      </c>
      <c r="H40" s="178" t="e">
        <f>D40*$D$4*'Input data'!K77/1000-F40</f>
        <v>#REF!</v>
      </c>
      <c r="J40" s="178" t="e">
        <f>D40*$D$7*'Input data'!K77/1000</f>
        <v>#REF!</v>
      </c>
      <c r="K40" s="1192"/>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2"/>
      <c r="C41" t="e">
        <f>'Input data'!#REF!</f>
        <v>#REF!</v>
      </c>
      <c r="D41" t="e">
        <f>'Input data'!#REF!</f>
        <v>#REF!</v>
      </c>
      <c r="E41">
        <v>0</v>
      </c>
      <c r="F41">
        <v>0</v>
      </c>
      <c r="G41" s="178" t="e">
        <f>C41*$D$5*'Input data'!K78/1000-E41</f>
        <v>#REF!</v>
      </c>
      <c r="H41" s="178" t="e">
        <f>D41*$D$4*'Input data'!K78/1000-F41</f>
        <v>#REF!</v>
      </c>
      <c r="J41" s="178" t="e">
        <f>D41*$D$7*'Input data'!K78/1000</f>
        <v>#REF!</v>
      </c>
      <c r="K41" s="1192"/>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2"/>
      <c r="C42" t="e">
        <f>'Input data'!#REF!</f>
        <v>#REF!</v>
      </c>
      <c r="D42" t="e">
        <f>'Input data'!#REF!</f>
        <v>#REF!</v>
      </c>
      <c r="E42">
        <v>0</v>
      </c>
      <c r="F42">
        <v>0</v>
      </c>
      <c r="G42" s="178" t="e">
        <f>C42*$D$5*'Input data'!K79/1000-E42</f>
        <v>#REF!</v>
      </c>
      <c r="H42" s="178" t="e">
        <f>D42*$D$4*'Input data'!K79/1000-F42</f>
        <v>#REF!</v>
      </c>
      <c r="J42" s="178" t="e">
        <f>D42*$D$7*'Input data'!K79/1000</f>
        <v>#REF!</v>
      </c>
      <c r="K42" s="1192"/>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2"/>
      <c r="C43" t="e">
        <f>'Input data'!#REF!</f>
        <v>#REF!</v>
      </c>
      <c r="D43" t="e">
        <f>'Input data'!#REF!</f>
        <v>#REF!</v>
      </c>
      <c r="E43">
        <v>0</v>
      </c>
      <c r="F43">
        <v>0</v>
      </c>
      <c r="G43" s="178" t="e">
        <f>C43*$D$5*'Input data'!K80/1000-E43</f>
        <v>#REF!</v>
      </c>
      <c r="H43" s="178" t="e">
        <f>D43*$D$4*'Input data'!K80/1000-F43</f>
        <v>#REF!</v>
      </c>
      <c r="J43" s="178" t="e">
        <f>D43*$D$7*'Input data'!K80/1000</f>
        <v>#REF!</v>
      </c>
      <c r="K43" s="1192"/>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2"/>
      <c r="C44" t="e">
        <f>'Input data'!#REF!</f>
        <v>#REF!</v>
      </c>
      <c r="D44" t="e">
        <f>'Input data'!#REF!</f>
        <v>#REF!</v>
      </c>
      <c r="E44">
        <v>0</v>
      </c>
      <c r="F44">
        <v>0</v>
      </c>
      <c r="G44" s="178" t="e">
        <f>C44*$D$5*'Input data'!K81/1000-E44</f>
        <v>#REF!</v>
      </c>
      <c r="H44" s="178" t="e">
        <f>D44*$D$4*'Input data'!K81/1000-F44</f>
        <v>#REF!</v>
      </c>
      <c r="J44" s="178" t="e">
        <f>D44*$D$7*'Input data'!K81/1000</f>
        <v>#REF!</v>
      </c>
      <c r="K44" s="1192"/>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2"/>
      <c r="C45" t="e">
        <f>'Input data'!#REF!</f>
        <v>#REF!</v>
      </c>
      <c r="D45" t="e">
        <f>'Input data'!#REF!</f>
        <v>#REF!</v>
      </c>
      <c r="E45">
        <v>0</v>
      </c>
      <c r="F45">
        <v>0</v>
      </c>
      <c r="G45" s="178" t="e">
        <f>C45*$D$5*'Input data'!K82/1000-E45</f>
        <v>#REF!</v>
      </c>
      <c r="H45" s="178" t="e">
        <f>D45*$D$4*'Input data'!K82/1000-F45</f>
        <v>#REF!</v>
      </c>
      <c r="J45" s="178" t="e">
        <f>D45*$D$7*'Input data'!K82/1000</f>
        <v>#REF!</v>
      </c>
      <c r="K45" s="1192"/>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2"/>
      <c r="C46" t="e">
        <f>'Input data'!#REF!</f>
        <v>#REF!</v>
      </c>
      <c r="D46" t="e">
        <f>'Input data'!#REF!</f>
        <v>#REF!</v>
      </c>
      <c r="E46">
        <v>0</v>
      </c>
      <c r="F46">
        <v>0</v>
      </c>
      <c r="G46" s="178" t="e">
        <f>C46*$D$5*'Input data'!K83/1000-E46</f>
        <v>#REF!</v>
      </c>
      <c r="H46" s="178" t="e">
        <f>D46*$D$4*'Input data'!K83/1000-F46</f>
        <v>#REF!</v>
      </c>
      <c r="J46" s="178" t="e">
        <f>D46*$D$7*'Input data'!K83/1000</f>
        <v>#REF!</v>
      </c>
      <c r="K46" s="1192"/>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2"/>
      <c r="C47" t="e">
        <f>'Input data'!#REF!</f>
        <v>#REF!</v>
      </c>
      <c r="D47" t="e">
        <f>'Input data'!#REF!</f>
        <v>#REF!</v>
      </c>
      <c r="E47">
        <v>0</v>
      </c>
      <c r="F47">
        <v>0</v>
      </c>
      <c r="G47" s="178" t="e">
        <f>C47*$D$5*'Input data'!K84/1000-E47</f>
        <v>#REF!</v>
      </c>
      <c r="H47" s="178" t="e">
        <f>D47*$D$4*'Input data'!K84/1000-F47</f>
        <v>#REF!</v>
      </c>
      <c r="J47" s="178" t="e">
        <f>D47*$D$7*'Input data'!K84/1000</f>
        <v>#REF!</v>
      </c>
      <c r="K47" s="1192"/>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2"/>
      <c r="C48" t="e">
        <f>'Input data'!#REF!</f>
        <v>#REF!</v>
      </c>
      <c r="D48" t="e">
        <f>'Input data'!#REF!</f>
        <v>#REF!</v>
      </c>
      <c r="E48">
        <v>0</v>
      </c>
      <c r="F48">
        <v>0</v>
      </c>
      <c r="G48" s="178" t="e">
        <f>C48*$D$5*'Input data'!K85/1000-E48</f>
        <v>#REF!</v>
      </c>
      <c r="H48" s="178" t="e">
        <f>D48*$D$4*'Input data'!K85/1000-F48</f>
        <v>#REF!</v>
      </c>
      <c r="J48" s="178" t="e">
        <f>D48*$D$7*'Input data'!K85/1000</f>
        <v>#REF!</v>
      </c>
      <c r="K48" s="1192"/>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2"/>
      <c r="C49" t="e">
        <f>'Input data'!#REF!</f>
        <v>#REF!</v>
      </c>
      <c r="D49" t="e">
        <f>'Input data'!#REF!</f>
        <v>#REF!</v>
      </c>
      <c r="E49">
        <v>0</v>
      </c>
      <c r="F49">
        <v>0</v>
      </c>
      <c r="G49" s="178" t="e">
        <f>C49*$D$5*'Input data'!K86/1000-E49</f>
        <v>#REF!</v>
      </c>
      <c r="H49" s="178" t="e">
        <f>D49*$D$4*'Input data'!K86/1000-F49</f>
        <v>#REF!</v>
      </c>
      <c r="J49" s="178" t="e">
        <f>D49*$D$7*'Input data'!K86/1000</f>
        <v>#REF!</v>
      </c>
      <c r="K49" s="1192"/>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2"/>
      <c r="C50" t="e">
        <f>'Input data'!#REF!</f>
        <v>#REF!</v>
      </c>
      <c r="D50" t="e">
        <f>'Input data'!#REF!</f>
        <v>#REF!</v>
      </c>
      <c r="E50">
        <v>0</v>
      </c>
      <c r="F50">
        <v>0</v>
      </c>
      <c r="G50" s="178" t="e">
        <f>C50*$D$5*'Input data'!K87/1000-E50</f>
        <v>#REF!</v>
      </c>
      <c r="H50" s="178" t="e">
        <f>D50*$D$4*'Input data'!K87/1000-F50</f>
        <v>#REF!</v>
      </c>
      <c r="J50" s="178" t="e">
        <f>D50*$D$7*'Input data'!K87/1000</f>
        <v>#REF!</v>
      </c>
      <c r="K50" s="1192"/>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2"/>
      <c r="C51" t="e">
        <f>'Input data'!#REF!</f>
        <v>#REF!</v>
      </c>
      <c r="D51" t="e">
        <f>'Input data'!#REF!</f>
        <v>#REF!</v>
      </c>
      <c r="E51">
        <v>0</v>
      </c>
      <c r="F51">
        <v>0</v>
      </c>
      <c r="G51" s="178" t="e">
        <f>C51*$D$5*'Input data'!K88/1000-E51</f>
        <v>#REF!</v>
      </c>
      <c r="H51" s="178" t="e">
        <f>D51*$D$4*'Input data'!K88/1000-F51</f>
        <v>#REF!</v>
      </c>
      <c r="J51" s="178" t="e">
        <f>D51*$D$7*'Input data'!K88/1000</f>
        <v>#REF!</v>
      </c>
      <c r="K51" s="1192"/>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2"/>
      <c r="C52" t="e">
        <f>'Input data'!#REF!</f>
        <v>#REF!</v>
      </c>
      <c r="D52" t="e">
        <f>'Input data'!#REF!</f>
        <v>#REF!</v>
      </c>
      <c r="E52">
        <v>0</v>
      </c>
      <c r="F52">
        <v>0</v>
      </c>
      <c r="G52" s="178" t="e">
        <f>C52*$D$5*'Input data'!K89/1000-E52</f>
        <v>#REF!</v>
      </c>
      <c r="H52" s="178" t="e">
        <f>D52*$D$4*'Input data'!K89/1000-F52</f>
        <v>#REF!</v>
      </c>
      <c r="J52" s="178" t="e">
        <f>D52*$D$7*'Input data'!K89/1000</f>
        <v>#REF!</v>
      </c>
      <c r="K52" s="1192"/>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2"/>
      <c r="C53" t="e">
        <f>'Input data'!#REF!</f>
        <v>#REF!</v>
      </c>
      <c r="D53" t="e">
        <f>'Input data'!#REF!</f>
        <v>#REF!</v>
      </c>
      <c r="E53">
        <v>0</v>
      </c>
      <c r="F53">
        <v>0</v>
      </c>
      <c r="G53" s="178" t="e">
        <f>C53*$D$5*'Input data'!K90/1000-E53</f>
        <v>#REF!</v>
      </c>
      <c r="H53" s="178" t="e">
        <f>D53*$D$4*'Input data'!K90/1000-F53</f>
        <v>#REF!</v>
      </c>
      <c r="J53" s="178" t="e">
        <f>D53*$D$7*'Input data'!K90/1000</f>
        <v>#REF!</v>
      </c>
      <c r="K53" s="1192"/>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2"/>
      <c r="C54" t="e">
        <f>'Input data'!#REF!</f>
        <v>#REF!</v>
      </c>
      <c r="D54" t="e">
        <f>'Input data'!#REF!</f>
        <v>#REF!</v>
      </c>
      <c r="E54">
        <v>0</v>
      </c>
      <c r="F54">
        <v>0</v>
      </c>
      <c r="G54" s="178" t="e">
        <f>C54*$D$5*'Input data'!K91/1000-E54</f>
        <v>#REF!</v>
      </c>
      <c r="H54" s="178" t="e">
        <f>D54*$D$4*'Input data'!K91/1000-F54</f>
        <v>#REF!</v>
      </c>
      <c r="J54" s="178" t="e">
        <f>D54*$D$7*'Input data'!K91/1000</f>
        <v>#REF!</v>
      </c>
      <c r="K54" s="1192"/>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2"/>
      <c r="C55" t="e">
        <f>'Input data'!#REF!</f>
        <v>#REF!</v>
      </c>
      <c r="D55" t="e">
        <f>'Input data'!#REF!</f>
        <v>#REF!</v>
      </c>
      <c r="E55">
        <v>0</v>
      </c>
      <c r="F55">
        <v>0</v>
      </c>
      <c r="G55" s="178" t="e">
        <f>C55*$D$5*'Input data'!K92/1000-E55</f>
        <v>#REF!</v>
      </c>
      <c r="H55" s="178" t="e">
        <f>D55*$D$4*'Input data'!K92/1000-F55</f>
        <v>#REF!</v>
      </c>
      <c r="J55" s="178" t="e">
        <f>D55*$D$7*'Input data'!K92/1000</f>
        <v>#REF!</v>
      </c>
      <c r="K55" s="1192"/>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2"/>
      <c r="C56" t="e">
        <f>'Input data'!#REF!</f>
        <v>#REF!</v>
      </c>
      <c r="D56" t="e">
        <f>'Input data'!#REF!</f>
        <v>#REF!</v>
      </c>
      <c r="E56">
        <v>0</v>
      </c>
      <c r="F56">
        <v>0</v>
      </c>
      <c r="G56" s="178" t="e">
        <f>C56*$D$5*'Input data'!K93/1000-E56</f>
        <v>#REF!</v>
      </c>
      <c r="H56" s="178" t="e">
        <f>D56*$D$4*'Input data'!K93/1000-F56</f>
        <v>#REF!</v>
      </c>
      <c r="J56" s="178" t="e">
        <f>D56*$D$7*'Input data'!K93/1000</f>
        <v>#REF!</v>
      </c>
      <c r="K56" s="1192"/>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2"/>
      <c r="C57" t="e">
        <f>'Input data'!#REF!</f>
        <v>#REF!</v>
      </c>
      <c r="D57" t="e">
        <f>'Input data'!#REF!</f>
        <v>#REF!</v>
      </c>
      <c r="E57">
        <v>0</v>
      </c>
      <c r="F57">
        <v>0</v>
      </c>
      <c r="G57" s="178" t="e">
        <f>C57*$D$5*'Input data'!K94/1000-E57</f>
        <v>#REF!</v>
      </c>
      <c r="H57" s="178" t="e">
        <f>D57*$D$4*'Input data'!K94/1000-F57</f>
        <v>#REF!</v>
      </c>
      <c r="J57" s="178" t="e">
        <f>D57*$D$7*'Input data'!K94/1000</f>
        <v>#REF!</v>
      </c>
      <c r="K57" s="1192"/>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2"/>
      <c r="C58" t="e">
        <f>'Input data'!#REF!</f>
        <v>#REF!</v>
      </c>
      <c r="D58" t="e">
        <f>'Input data'!#REF!</f>
        <v>#REF!</v>
      </c>
      <c r="E58">
        <v>0</v>
      </c>
      <c r="F58">
        <v>0</v>
      </c>
      <c r="G58" s="178" t="e">
        <f>C58*$D$5*'Input data'!K95/1000-E58</f>
        <v>#REF!</v>
      </c>
      <c r="H58" s="178" t="e">
        <f>D58*$D$4*'Input data'!K95/1000-F58</f>
        <v>#REF!</v>
      </c>
      <c r="J58" s="178" t="e">
        <f>D58*$D$7*'Input data'!K95/1000</f>
        <v>#REF!</v>
      </c>
      <c r="K58" s="1192"/>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2"/>
      <c r="C59" t="e">
        <f>'Input data'!#REF!</f>
        <v>#REF!</v>
      </c>
      <c r="D59" t="e">
        <f>'Input data'!#REF!</f>
        <v>#REF!</v>
      </c>
      <c r="E59">
        <v>0</v>
      </c>
      <c r="F59">
        <v>0</v>
      </c>
      <c r="G59" s="178" t="e">
        <f>C59*$D$5*'Input data'!K96/1000-E59</f>
        <v>#REF!</v>
      </c>
      <c r="H59" s="178" t="e">
        <f>D59*$D$4*'Input data'!K96/1000-F59</f>
        <v>#REF!</v>
      </c>
      <c r="J59" s="178" t="e">
        <f>D59*$D$7*'Input data'!K96/1000</f>
        <v>#REF!</v>
      </c>
      <c r="K59" s="1192"/>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2"/>
      <c r="C60" t="e">
        <f>'Input data'!#REF!</f>
        <v>#REF!</v>
      </c>
      <c r="D60" t="e">
        <f>'Input data'!#REF!</f>
        <v>#REF!</v>
      </c>
      <c r="E60">
        <v>0</v>
      </c>
      <c r="F60">
        <v>0</v>
      </c>
      <c r="G60" s="178" t="e">
        <f>C60*$D$5*'Input data'!K97/1000-E60</f>
        <v>#REF!</v>
      </c>
      <c r="H60" s="178" t="e">
        <f>D60*$D$4*'Input data'!K97/1000-F60</f>
        <v>#REF!</v>
      </c>
      <c r="J60" s="178" t="e">
        <f>D60*$D$7*'Input data'!K97/1000</f>
        <v>#REF!</v>
      </c>
      <c r="K60" s="1192"/>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2"/>
      <c r="C61" t="e">
        <f>'Input data'!#REF!</f>
        <v>#REF!</v>
      </c>
      <c r="D61" t="e">
        <f>'Input data'!#REF!</f>
        <v>#REF!</v>
      </c>
      <c r="E61">
        <v>0</v>
      </c>
      <c r="F61">
        <v>0</v>
      </c>
      <c r="G61" s="178" t="e">
        <f>C61*$D$5*'Input data'!K98/1000-E61</f>
        <v>#REF!</v>
      </c>
      <c r="H61" s="178" t="e">
        <f>D61*$D$4*'Input data'!K98/1000-F61</f>
        <v>#REF!</v>
      </c>
      <c r="J61" s="178" t="e">
        <f>D61*$D$7*'Input data'!K98/1000</f>
        <v>#REF!</v>
      </c>
      <c r="K61" s="1192"/>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2"/>
      <c r="C62" t="e">
        <f>'Input data'!#REF!</f>
        <v>#REF!</v>
      </c>
      <c r="D62" t="e">
        <f>'Input data'!#REF!</f>
        <v>#REF!</v>
      </c>
      <c r="E62">
        <v>0</v>
      </c>
      <c r="F62">
        <v>0</v>
      </c>
      <c r="G62" s="178" t="e">
        <f>C62*$D$5*'Input data'!K99/1000-E62</f>
        <v>#REF!</v>
      </c>
      <c r="H62" s="178" t="e">
        <f>D62*$D$4*'Input data'!K99/1000-F62</f>
        <v>#REF!</v>
      </c>
      <c r="J62" s="178" t="e">
        <f>D62*$D$7*'Input data'!K99/1000</f>
        <v>#REF!</v>
      </c>
      <c r="K62" s="1192"/>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1060.0114248667383</v>
      </c>
      <c r="L63" s="647">
        <v>0</v>
      </c>
      <c r="M63" s="647">
        <f>1-L63</f>
        <v>1</v>
      </c>
      <c r="N63" s="115">
        <v>0</v>
      </c>
      <c r="O63" s="115">
        <v>0</v>
      </c>
      <c r="P63" s="737">
        <f>L63*$D$5*'Input data'!U100/1000-N63</f>
        <v>0</v>
      </c>
      <c r="Q63" s="738">
        <f>M63*$D$4*K63/1000-O63</f>
        <v>4.2400456994669531</v>
      </c>
      <c r="R63" s="115"/>
      <c r="S63" s="1193">
        <f>M63*$D$7*K63/1000</f>
        <v>0.25440274196801715</v>
      </c>
      <c r="T63" s="1194">
        <f>G63+P63</f>
        <v>0</v>
      </c>
      <c r="U63" s="1195">
        <f>H63+Q63</f>
        <v>8.0224619830130912</v>
      </c>
      <c r="V63" s="1195">
        <f>I63+R63</f>
        <v>0</v>
      </c>
      <c r="W63" s="1196">
        <f>J63+S63</f>
        <v>0.48134771898078543</v>
      </c>
      <c r="Z63" s="1397"/>
      <c r="AA63" s="1399"/>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1088.6316757477196</v>
      </c>
      <c r="L64" s="114">
        <v>0</v>
      </c>
      <c r="M64" s="114">
        <f t="shared" ref="M64:M80" si="4">1-L64</f>
        <v>1</v>
      </c>
      <c r="N64">
        <v>0</v>
      </c>
      <c r="O64">
        <v>0</v>
      </c>
      <c r="P64" s="178">
        <f>L64*$D$5*'Input data'!U101/1000-N64</f>
        <v>0</v>
      </c>
      <c r="Q64" s="419">
        <f t="shared" ref="Q64:Q114" si="5">M64*$D$4*K64/1000-O64</f>
        <v>4.3545267029908779</v>
      </c>
      <c r="S64" s="1197">
        <f t="shared" ref="S64:S114" si="6">M64*$D$7*K64/1000</f>
        <v>0.26127160217945267</v>
      </c>
      <c r="T64" s="1198">
        <f t="shared" ref="T64:W80" si="7">G64+P64</f>
        <v>0</v>
      </c>
      <c r="U64" s="1199">
        <f t="shared" si="7"/>
        <v>8.215170232401265</v>
      </c>
      <c r="V64" s="1199">
        <f t="shared" si="7"/>
        <v>0</v>
      </c>
      <c r="W64" s="1200">
        <f t="shared" si="7"/>
        <v>0.49291021394407586</v>
      </c>
      <c r="Z64" s="1397"/>
      <c r="AA64" s="1399"/>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1128.91521015537</v>
      </c>
      <c r="L65" s="114">
        <v>0</v>
      </c>
      <c r="M65" s="114">
        <f t="shared" si="4"/>
        <v>1</v>
      </c>
      <c r="N65">
        <v>0</v>
      </c>
      <c r="O65">
        <v>0</v>
      </c>
      <c r="P65" s="178">
        <f>L65*$D$5*'Input data'!U102/1000-N65</f>
        <v>0</v>
      </c>
      <c r="Q65" s="419">
        <f>M65*$D$4*K65/1000-O65</f>
        <v>4.5156608406214804</v>
      </c>
      <c r="S65" s="1197">
        <f t="shared" si="6"/>
        <v>0.27093965043728879</v>
      </c>
      <c r="T65" s="1198">
        <f t="shared" si="7"/>
        <v>0</v>
      </c>
      <c r="U65" s="1199">
        <f t="shared" si="7"/>
        <v>8.4298599460466228</v>
      </c>
      <c r="V65" s="1199">
        <f t="shared" si="7"/>
        <v>0</v>
      </c>
      <c r="W65" s="1200">
        <f t="shared" si="7"/>
        <v>0.50579159676279739</v>
      </c>
      <c r="Z65" s="1397"/>
      <c r="AA65" s="1399"/>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1162.2078130924817</v>
      </c>
      <c r="L66" s="114">
        <v>0</v>
      </c>
      <c r="M66" s="114">
        <f t="shared" si="4"/>
        <v>1</v>
      </c>
      <c r="N66">
        <v>0</v>
      </c>
      <c r="O66">
        <v>0</v>
      </c>
      <c r="P66" s="178">
        <f>L66*$D$5*'Input data'!U103/1000-N66</f>
        <v>0</v>
      </c>
      <c r="Q66" s="419">
        <f t="shared" si="5"/>
        <v>4.6488312523699271</v>
      </c>
      <c r="S66" s="1197">
        <f t="shared" si="6"/>
        <v>0.27892987514219564</v>
      </c>
      <c r="T66" s="1198">
        <f t="shared" si="7"/>
        <v>0</v>
      </c>
      <c r="U66" s="1199">
        <f t="shared" si="7"/>
        <v>8.6131473735520565</v>
      </c>
      <c r="V66" s="1199">
        <f t="shared" si="7"/>
        <v>0</v>
      </c>
      <c r="W66" s="1200">
        <f t="shared" si="7"/>
        <v>0.51678884241312339</v>
      </c>
      <c r="Z66" s="1397"/>
      <c r="AA66" s="1399"/>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1215.14118094629</v>
      </c>
      <c r="L67" s="114">
        <v>0</v>
      </c>
      <c r="M67" s="114">
        <f t="shared" si="4"/>
        <v>1</v>
      </c>
      <c r="N67">
        <v>0</v>
      </c>
      <c r="O67">
        <v>0</v>
      </c>
      <c r="P67" s="178">
        <f>L67*$D$5*'Input data'!U104/1000-N67</f>
        <v>0</v>
      </c>
      <c r="Q67" s="419">
        <f t="shared" si="5"/>
        <v>4.8605647237851599</v>
      </c>
      <c r="S67" s="1197">
        <f t="shared" si="6"/>
        <v>0.29163388342710961</v>
      </c>
      <c r="T67" s="1198">
        <f t="shared" si="7"/>
        <v>0</v>
      </c>
      <c r="U67" s="1199">
        <f t="shared" si="7"/>
        <v>8.8720750845051715</v>
      </c>
      <c r="V67" s="1199">
        <f t="shared" si="7"/>
        <v>0</v>
      </c>
      <c r="W67" s="1200">
        <f t="shared" si="7"/>
        <v>0.53232450507031026</v>
      </c>
      <c r="Z67" s="1397"/>
      <c r="AA67" s="1399"/>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1279.2648653351275</v>
      </c>
      <c r="L68" s="114">
        <v>0</v>
      </c>
      <c r="M68" s="114">
        <f t="shared" si="4"/>
        <v>1</v>
      </c>
      <c r="N68">
        <v>0</v>
      </c>
      <c r="O68">
        <v>0</v>
      </c>
      <c r="P68" s="178">
        <f>L68*$D$5*'Input data'!U105/1000-N68</f>
        <v>0</v>
      </c>
      <c r="Q68" s="419">
        <f t="shared" si="5"/>
        <v>5.11705946134051</v>
      </c>
      <c r="S68" s="1197">
        <f t="shared" si="6"/>
        <v>0.3070235676804306</v>
      </c>
      <c r="T68" s="1198">
        <f t="shared" si="7"/>
        <v>0</v>
      </c>
      <c r="U68" s="1199">
        <f t="shared" si="7"/>
        <v>9.1743886374952961</v>
      </c>
      <c r="V68" s="1199">
        <f t="shared" si="7"/>
        <v>0</v>
      </c>
      <c r="W68" s="1200">
        <f t="shared" si="7"/>
        <v>0.55046331824971773</v>
      </c>
      <c r="Z68" s="1397"/>
      <c r="AA68" s="1399"/>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1350.9522798856019</v>
      </c>
      <c r="L69" s="114">
        <v>0</v>
      </c>
      <c r="M69" s="114">
        <f t="shared" si="4"/>
        <v>1</v>
      </c>
      <c r="N69">
        <v>0</v>
      </c>
      <c r="O69">
        <v>0</v>
      </c>
      <c r="P69" s="178">
        <f>L69*$D$5*'Input data'!U106/1000-N69</f>
        <v>0</v>
      </c>
      <c r="Q69" s="419">
        <f t="shared" si="5"/>
        <v>5.4038091195424078</v>
      </c>
      <c r="S69" s="1197">
        <f t="shared" si="6"/>
        <v>0.32422854717254446</v>
      </c>
      <c r="T69" s="1198">
        <f t="shared" si="7"/>
        <v>0</v>
      </c>
      <c r="U69" s="1199">
        <f t="shared" si="7"/>
        <v>9.5069571111319693</v>
      </c>
      <c r="V69" s="1199">
        <f t="shared" si="7"/>
        <v>0</v>
      </c>
      <c r="W69" s="1200">
        <f t="shared" si="7"/>
        <v>0.57041742666791817</v>
      </c>
      <c r="Z69" s="1397"/>
      <c r="AA69" s="1399"/>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1423.3697511477842</v>
      </c>
      <c r="L70" s="114">
        <v>0</v>
      </c>
      <c r="M70" s="114">
        <f t="shared" si="4"/>
        <v>1</v>
      </c>
      <c r="N70">
        <v>0</v>
      </c>
      <c r="O70">
        <v>0</v>
      </c>
      <c r="P70" s="178">
        <f>L70*$D$5*'Input data'!U107/1000-N70</f>
        <v>0</v>
      </c>
      <c r="Q70" s="419">
        <f t="shared" si="5"/>
        <v>5.6934790045911372</v>
      </c>
      <c r="S70" s="1197">
        <f t="shared" si="6"/>
        <v>0.34160874027546823</v>
      </c>
      <c r="T70" s="1198">
        <f t="shared" si="7"/>
        <v>0</v>
      </c>
      <c r="U70" s="1199">
        <f t="shared" si="7"/>
        <v>9.8418440635703632</v>
      </c>
      <c r="V70" s="1199">
        <f t="shared" si="7"/>
        <v>0</v>
      </c>
      <c r="W70" s="1200">
        <f t="shared" si="7"/>
        <v>0.5905106438142218</v>
      </c>
      <c r="Z70" s="1397"/>
      <c r="AA70" s="1399"/>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1468.7901452041654</v>
      </c>
      <c r="L71" s="114">
        <v>0</v>
      </c>
      <c r="M71" s="114">
        <f t="shared" si="4"/>
        <v>1</v>
      </c>
      <c r="N71">
        <v>0</v>
      </c>
      <c r="O71">
        <v>0</v>
      </c>
      <c r="P71" s="178">
        <f>L71*$D$5*'Input data'!U108/1000-N71</f>
        <v>0</v>
      </c>
      <c r="Q71" s="419">
        <f t="shared" si="5"/>
        <v>5.8751605808166616</v>
      </c>
      <c r="S71" s="1197">
        <f t="shared" si="6"/>
        <v>0.35250963484899966</v>
      </c>
      <c r="T71" s="1198">
        <f t="shared" si="7"/>
        <v>0</v>
      </c>
      <c r="U71" s="1199">
        <f t="shared" si="7"/>
        <v>10.069602347249996</v>
      </c>
      <c r="V71" s="1199">
        <f t="shared" si="7"/>
        <v>0</v>
      </c>
      <c r="W71" s="1200">
        <f t="shared" si="7"/>
        <v>0.60417614083499971</v>
      </c>
      <c r="Z71" s="1397"/>
      <c r="AA71" s="1399"/>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1446.1988406419368</v>
      </c>
      <c r="L72" s="114">
        <v>0</v>
      </c>
      <c r="M72" s="114">
        <f t="shared" si="4"/>
        <v>1</v>
      </c>
      <c r="N72">
        <v>0</v>
      </c>
      <c r="O72">
        <v>0</v>
      </c>
      <c r="P72" s="178">
        <f>L72*$D$5*'Input data'!U109/1000-N72</f>
        <v>0</v>
      </c>
      <c r="Q72" s="419">
        <f t="shared" si="5"/>
        <v>5.7847953625677473</v>
      </c>
      <c r="S72" s="1197">
        <f t="shared" si="6"/>
        <v>0.34708772175406483</v>
      </c>
      <c r="T72" s="1198">
        <f t="shared" si="7"/>
        <v>0</v>
      </c>
      <c r="U72" s="1199">
        <f t="shared" si="7"/>
        <v>10.024540160397191</v>
      </c>
      <c r="V72" s="1199">
        <f t="shared" si="7"/>
        <v>0</v>
      </c>
      <c r="W72" s="1200">
        <f t="shared" si="7"/>
        <v>0.60147240962383142</v>
      </c>
      <c r="Z72" s="1397"/>
      <c r="AA72" s="1399"/>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1490.1593924326405</v>
      </c>
      <c r="L73" s="114">
        <v>0</v>
      </c>
      <c r="M73" s="114">
        <f t="shared" si="4"/>
        <v>1</v>
      </c>
      <c r="N73">
        <v>0</v>
      </c>
      <c r="O73">
        <v>0</v>
      </c>
      <c r="P73" s="178">
        <f>L73*$D$5*'Input data'!U110/1000-N73</f>
        <v>0</v>
      </c>
      <c r="Q73" s="419">
        <f t="shared" si="5"/>
        <v>5.9606375697305625</v>
      </c>
      <c r="S73" s="1197">
        <f t="shared" si="6"/>
        <v>0.35763825418383371</v>
      </c>
      <c r="T73" s="1198">
        <f t="shared" si="7"/>
        <v>0</v>
      </c>
      <c r="U73" s="1199">
        <f t="shared" si="7"/>
        <v>11.535315942073929</v>
      </c>
      <c r="V73" s="1199">
        <f t="shared" si="7"/>
        <v>0</v>
      </c>
      <c r="W73" s="1200">
        <f t="shared" si="7"/>
        <v>0.69211895652443567</v>
      </c>
      <c r="Z73" s="1397"/>
      <c r="AA73" s="1399"/>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1539.0987324639343</v>
      </c>
      <c r="L74" s="114">
        <v>0.1</v>
      </c>
      <c r="M74" s="114">
        <f t="shared" si="4"/>
        <v>0.9</v>
      </c>
      <c r="N74">
        <v>0</v>
      </c>
      <c r="O74">
        <v>0</v>
      </c>
      <c r="P74" s="178">
        <f>L74*$D$5*K74/1000-N74</f>
        <v>0.12312789859711476</v>
      </c>
      <c r="Q74" s="419">
        <f t="shared" si="5"/>
        <v>5.5407554368701639</v>
      </c>
      <c r="S74" s="1197">
        <f t="shared" si="6"/>
        <v>0.33244532621220979</v>
      </c>
      <c r="T74" s="1198">
        <f t="shared" si="7"/>
        <v>0.19334183325252791</v>
      </c>
      <c r="U74" s="1199">
        <f t="shared" si="7"/>
        <v>12.211079229134413</v>
      </c>
      <c r="V74" s="1199">
        <f t="shared" si="7"/>
        <v>0</v>
      </c>
      <c r="W74" s="1200">
        <f t="shared" si="7"/>
        <v>0.73266475374806461</v>
      </c>
      <c r="Z74" s="1397"/>
      <c r="AA74" s="1399"/>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1573.1644482588224</v>
      </c>
      <c r="L75" s="114">
        <v>0.1</v>
      </c>
      <c r="M75" s="114">
        <f t="shared" si="4"/>
        <v>0.9</v>
      </c>
      <c r="N75">
        <v>0</v>
      </c>
      <c r="O75">
        <v>0</v>
      </c>
      <c r="P75" s="178">
        <f t="shared" ref="P75:P114" si="8">L75*$D$5*K75/1000-N75</f>
        <v>0.12585315586070581</v>
      </c>
      <c r="Q75" s="419">
        <f t="shared" si="5"/>
        <v>5.6633920137317606</v>
      </c>
      <c r="S75" s="1197">
        <f t="shared" si="6"/>
        <v>0.33980352082390564</v>
      </c>
      <c r="T75" s="1198">
        <f t="shared" si="7"/>
        <v>0.2082571219057886</v>
      </c>
      <c r="U75" s="1199">
        <f t="shared" si="7"/>
        <v>13.491768788014623</v>
      </c>
      <c r="V75" s="1199">
        <f t="shared" si="7"/>
        <v>0</v>
      </c>
      <c r="W75" s="1200">
        <f t="shared" si="7"/>
        <v>0.80950612728087734</v>
      </c>
      <c r="Z75" s="1397"/>
      <c r="AA75" s="1399"/>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1614.2834417545885</v>
      </c>
      <c r="L76" s="114">
        <v>0.1</v>
      </c>
      <c r="M76" s="114">
        <f t="shared" si="4"/>
        <v>0.9</v>
      </c>
      <c r="N76">
        <v>0</v>
      </c>
      <c r="O76">
        <v>0</v>
      </c>
      <c r="P76" s="178">
        <f t="shared" si="8"/>
        <v>0.12914267534036711</v>
      </c>
      <c r="Q76" s="419">
        <f t="shared" si="5"/>
        <v>5.8114203903165187</v>
      </c>
      <c r="S76" s="1197">
        <f t="shared" si="6"/>
        <v>0.34868522341899111</v>
      </c>
      <c r="T76" s="1198">
        <f t="shared" si="7"/>
        <v>0.2233300797027758</v>
      </c>
      <c r="U76" s="1199">
        <f t="shared" si="7"/>
        <v>14.759223804745339</v>
      </c>
      <c r="V76" s="1199">
        <f t="shared" si="7"/>
        <v>0</v>
      </c>
      <c r="W76" s="1200">
        <f t="shared" si="7"/>
        <v>0.88555342828472039</v>
      </c>
      <c r="Z76" s="1397"/>
      <c r="AA76" s="1399"/>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1643.1097662379286</v>
      </c>
      <c r="L77" s="114">
        <v>0.1</v>
      </c>
      <c r="M77" s="114">
        <f t="shared" si="4"/>
        <v>0.9</v>
      </c>
      <c r="N77">
        <v>0</v>
      </c>
      <c r="O77">
        <v>0</v>
      </c>
      <c r="P77" s="178">
        <f t="shared" si="8"/>
        <v>0.13144878129903431</v>
      </c>
      <c r="Q77" s="419">
        <f t="shared" si="5"/>
        <v>5.9151951584565428</v>
      </c>
      <c r="S77" s="1197">
        <f t="shared" si="6"/>
        <v>0.35491170950739259</v>
      </c>
      <c r="T77" s="1198">
        <f t="shared" si="7"/>
        <v>0.23671892495327568</v>
      </c>
      <c r="U77" s="1199">
        <f t="shared" si="7"/>
        <v>15.915858805609473</v>
      </c>
      <c r="V77" s="1199">
        <f t="shared" si="7"/>
        <v>0</v>
      </c>
      <c r="W77" s="1200">
        <f t="shared" si="7"/>
        <v>0.95495152833656827</v>
      </c>
      <c r="Z77" s="1397"/>
      <c r="AA77" s="1399"/>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1663.7772506159363</v>
      </c>
      <c r="L78" s="114">
        <v>0.1</v>
      </c>
      <c r="M78" s="114">
        <f t="shared" si="4"/>
        <v>0.9</v>
      </c>
      <c r="N78">
        <v>0</v>
      </c>
      <c r="O78">
        <v>0</v>
      </c>
      <c r="P78" s="178">
        <f>L78*$D$5*K78/1000-N78</f>
        <v>0.13310218004927493</v>
      </c>
      <c r="Q78" s="419">
        <f t="shared" si="5"/>
        <v>5.9895981022173705</v>
      </c>
      <c r="S78" s="1197">
        <f t="shared" si="6"/>
        <v>0.35937588613304222</v>
      </c>
      <c r="T78" s="1198">
        <f t="shared" si="7"/>
        <v>0.24872431455830615</v>
      </c>
      <c r="U78" s="1199">
        <f t="shared" si="7"/>
        <v>16.973700880575333</v>
      </c>
      <c r="V78" s="1199">
        <f t="shared" si="7"/>
        <v>0</v>
      </c>
      <c r="W78" s="1200">
        <f t="shared" si="7"/>
        <v>1.01842205283452</v>
      </c>
      <c r="Z78" s="1397"/>
      <c r="AA78" s="1399"/>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1676.0829741100024</v>
      </c>
      <c r="L79" s="114">
        <v>0.1</v>
      </c>
      <c r="M79" s="114">
        <f t="shared" si="4"/>
        <v>0.9</v>
      </c>
      <c r="N79">
        <v>0</v>
      </c>
      <c r="O79">
        <v>0</v>
      </c>
      <c r="P79" s="178">
        <f t="shared" si="8"/>
        <v>0.13408663792880024</v>
      </c>
      <c r="Q79" s="419">
        <f t="shared" si="5"/>
        <v>6.033898706796009</v>
      </c>
      <c r="S79" s="1197">
        <f t="shared" si="6"/>
        <v>0.3620339224077605</v>
      </c>
      <c r="T79" s="1198">
        <f t="shared" si="7"/>
        <v>0.25929726721956436</v>
      </c>
      <c r="U79" s="1199">
        <f t="shared" si="7"/>
        <v>17.928908489418596</v>
      </c>
      <c r="V79" s="1199">
        <f t="shared" si="7"/>
        <v>0</v>
      </c>
      <c r="W79" s="1200">
        <f t="shared" si="7"/>
        <v>1.0757345093651158</v>
      </c>
      <c r="Z79" s="1397"/>
      <c r="AA79" s="1399"/>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1">
        <f t="shared" si="6"/>
        <v>0.366102504</v>
      </c>
      <c r="T80" s="1198">
        <f t="shared" si="7"/>
        <v>0.26959352009873772</v>
      </c>
      <c r="U80" s="1199">
        <f t="shared" si="7"/>
        <v>18.831708409380081</v>
      </c>
      <c r="V80" s="1199">
        <f t="shared" si="7"/>
        <v>0</v>
      </c>
      <c r="W80" s="1200">
        <f t="shared" si="7"/>
        <v>1.1299025045628048</v>
      </c>
      <c r="Z80" s="1397"/>
      <c r="AA80" s="1399"/>
    </row>
    <row r="81" spans="1:23">
      <c r="A81" s="1202" t="s">
        <v>643</v>
      </c>
      <c r="B81" s="1203"/>
      <c r="C81" s="1204"/>
      <c r="D81" s="1204"/>
      <c r="E81" s="501"/>
      <c r="F81" s="501"/>
      <c r="G81" s="1205"/>
      <c r="H81" s="1203"/>
      <c r="I81" s="1206"/>
      <c r="J81" s="1205"/>
      <c r="K81" s="1207"/>
      <c r="L81" s="1204"/>
      <c r="M81" s="1204"/>
      <c r="N81" s="501"/>
      <c r="O81" s="501"/>
      <c r="P81" s="737">
        <f>L81*$D$5*'Input data'!U118/1000-N81</f>
        <v>0</v>
      </c>
      <c r="Q81" s="738">
        <f t="shared" si="5"/>
        <v>0</v>
      </c>
      <c r="R81" s="115"/>
      <c r="S81" s="1193">
        <f t="shared" si="6"/>
        <v>0</v>
      </c>
      <c r="T81" s="1194">
        <f t="shared" ref="T81:W114" si="9">G81+P81</f>
        <v>0</v>
      </c>
      <c r="U81" s="1195">
        <f t="shared" si="9"/>
        <v>0</v>
      </c>
      <c r="V81" s="1195">
        <f t="shared" si="9"/>
        <v>0</v>
      </c>
      <c r="W81" s="1196">
        <f t="shared" si="9"/>
        <v>0</v>
      </c>
    </row>
    <row r="82" spans="1:23">
      <c r="A82" s="123">
        <f>'Input data'!A118</f>
        <v>2018</v>
      </c>
      <c r="B82" s="1208">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1789.9687605419947</v>
      </c>
      <c r="L82" s="114">
        <v>0.1</v>
      </c>
      <c r="M82" s="114">
        <f>1-L82</f>
        <v>0.9</v>
      </c>
      <c r="N82">
        <f>N80</f>
        <v>0</v>
      </c>
      <c r="O82">
        <f>O80</f>
        <v>0</v>
      </c>
      <c r="P82" s="178">
        <f>L82*$D$5*K82/1000-N82</f>
        <v>0.14319750084335958</v>
      </c>
      <c r="Q82" s="419">
        <f t="shared" si="5"/>
        <v>6.4438875379511806</v>
      </c>
      <c r="S82" s="1197">
        <f t="shared" si="6"/>
        <v>0.38663325227707085</v>
      </c>
      <c r="T82" s="1198">
        <f>G82+P82</f>
        <v>0.32115863087580998</v>
      </c>
      <c r="U82" s="1199">
        <f>H82+Q82</f>
        <v>20.384176057159792</v>
      </c>
      <c r="V82" s="1199">
        <f t="shared" si="9"/>
        <v>0</v>
      </c>
      <c r="W82" s="1200">
        <f t="shared" si="9"/>
        <v>1.2230505634295874</v>
      </c>
    </row>
    <row r="83" spans="1:23">
      <c r="A83" s="123">
        <f>'Input data'!A119</f>
        <v>2019</v>
      </c>
      <c r="B83" s="1208">
        <f>'Recycling - Case 1'!AI99</f>
        <v>4010.8720893729233</v>
      </c>
      <c r="C83" s="1209">
        <f>($C$86-$C$80)/($A$86-$A$80)+C82</f>
        <v>7.0000000000000007E-2</v>
      </c>
      <c r="D83" s="1209">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2572.2972467623063</v>
      </c>
      <c r="L83" s="114">
        <v>0.1</v>
      </c>
      <c r="M83" s="1209">
        <f t="shared" ref="M83:M114" si="14">1-L83</f>
        <v>0.9</v>
      </c>
      <c r="N83" s="53">
        <f t="shared" ref="N83:O98" si="15">N81</f>
        <v>0</v>
      </c>
      <c r="O83" s="53">
        <f t="shared" si="15"/>
        <v>0</v>
      </c>
      <c r="P83" s="178">
        <f t="shared" ref="P83:P112" si="16">L83*$D$5*K83/1000-N83</f>
        <v>0.20578377974098452</v>
      </c>
      <c r="Q83" s="519">
        <f t="shared" si="5"/>
        <v>9.2602700883443028</v>
      </c>
      <c r="R83" s="53"/>
      <c r="S83" s="1211">
        <f t="shared" si="6"/>
        <v>0.55561620530065814</v>
      </c>
      <c r="T83" s="1198">
        <f t="shared" si="9"/>
        <v>0.43039261674586826</v>
      </c>
      <c r="U83" s="1199">
        <f t="shared" si="9"/>
        <v>24.180714260811577</v>
      </c>
      <c r="V83" s="1199">
        <f t="shared" si="9"/>
        <v>0</v>
      </c>
      <c r="W83" s="1200">
        <f t="shared" si="9"/>
        <v>1.4508428556486945</v>
      </c>
    </row>
    <row r="84" spans="1:23">
      <c r="A84" s="123">
        <f>'Input data'!A120</f>
        <v>2020</v>
      </c>
      <c r="B84" s="1208">
        <f>'Recycling - Case 1'!AI100</f>
        <v>4314.2206364031299</v>
      </c>
      <c r="C84" s="1209">
        <f t="shared" ref="C84:C85" si="17">($C$86-$C$80)/($A$86-$A$80)+C83</f>
        <v>0.08</v>
      </c>
      <c r="D84" s="1209">
        <f t="shared" si="10"/>
        <v>0.92</v>
      </c>
      <c r="E84" s="53">
        <v>0</v>
      </c>
      <c r="F84" s="53">
        <v>0</v>
      </c>
      <c r="G84" s="776">
        <f t="shared" si="11"/>
        <v>0.27611012072980029</v>
      </c>
      <c r="H84" s="519">
        <f t="shared" si="12"/>
        <v>15.876331941963519</v>
      </c>
      <c r="I84" s="53"/>
      <c r="J84" s="776">
        <f t="shared" si="13"/>
        <v>0.95257991651781104</v>
      </c>
      <c r="K84" s="527">
        <f>'Recycling - Case 1'!Z140</f>
        <v>2491.9296118810189</v>
      </c>
      <c r="L84" s="114">
        <v>0.1</v>
      </c>
      <c r="M84" s="1209">
        <f t="shared" si="14"/>
        <v>0.9</v>
      </c>
      <c r="N84" s="53">
        <f t="shared" si="15"/>
        <v>0</v>
      </c>
      <c r="O84" s="53">
        <f t="shared" si="15"/>
        <v>0</v>
      </c>
      <c r="P84" s="178">
        <f t="shared" si="16"/>
        <v>0.19935436895048156</v>
      </c>
      <c r="Q84" s="519">
        <f t="shared" si="5"/>
        <v>8.9709466027716687</v>
      </c>
      <c r="R84" s="53"/>
      <c r="S84" s="1211">
        <f t="shared" si="6"/>
        <v>0.53825679616630007</v>
      </c>
      <c r="T84" s="1198">
        <f t="shared" si="9"/>
        <v>0.47546448968028188</v>
      </c>
      <c r="U84" s="1199">
        <f t="shared" si="9"/>
        <v>24.84727854473519</v>
      </c>
      <c r="V84" s="1199">
        <f t="shared" si="9"/>
        <v>0</v>
      </c>
      <c r="W84" s="1200">
        <f t="shared" si="9"/>
        <v>1.4908367126841111</v>
      </c>
    </row>
    <row r="85" spans="1:23">
      <c r="A85" s="123">
        <f>'Input data'!A121</f>
        <v>2021</v>
      </c>
      <c r="B85" s="1208">
        <f>'Recycling - Case 1'!AI101</f>
        <v>4617.5691834333375</v>
      </c>
      <c r="C85" s="1209">
        <f t="shared" si="17"/>
        <v>0.09</v>
      </c>
      <c r="D85" s="1209">
        <f t="shared" si="10"/>
        <v>0.91</v>
      </c>
      <c r="E85" s="53">
        <v>0</v>
      </c>
      <c r="F85" s="53">
        <v>0</v>
      </c>
      <c r="G85" s="776">
        <f t="shared" si="11"/>
        <v>0.33246498120720025</v>
      </c>
      <c r="H85" s="519">
        <f t="shared" si="12"/>
        <v>16.807951827697352</v>
      </c>
      <c r="I85" s="53"/>
      <c r="J85" s="776">
        <f t="shared" si="13"/>
        <v>1.008477109661841</v>
      </c>
      <c r="K85" s="527">
        <f>'Recycling - Case 1'!Z141</f>
        <v>2636.9987654826227</v>
      </c>
      <c r="L85" s="114">
        <v>0.1</v>
      </c>
      <c r="M85" s="1209">
        <f t="shared" si="14"/>
        <v>0.9</v>
      </c>
      <c r="N85" s="53">
        <f t="shared" si="15"/>
        <v>0</v>
      </c>
      <c r="O85" s="53">
        <f t="shared" si="15"/>
        <v>0</v>
      </c>
      <c r="P85" s="178">
        <f t="shared" si="16"/>
        <v>0.21095990123860986</v>
      </c>
      <c r="Q85" s="519">
        <f t="shared" si="5"/>
        <v>9.4931955557374419</v>
      </c>
      <c r="R85" s="53"/>
      <c r="S85" s="1211">
        <f t="shared" si="6"/>
        <v>0.5695917333442464</v>
      </c>
      <c r="T85" s="1198">
        <f t="shared" si="9"/>
        <v>0.54342488244581011</v>
      </c>
      <c r="U85" s="1199">
        <f t="shared" si="9"/>
        <v>26.301147383434795</v>
      </c>
      <c r="V85" s="1199">
        <f t="shared" si="9"/>
        <v>0</v>
      </c>
      <c r="W85" s="1200">
        <f t="shared" si="9"/>
        <v>1.5780688430060874</v>
      </c>
    </row>
    <row r="86" spans="1:23">
      <c r="A86" s="123">
        <f>'Input data'!A122</f>
        <v>2022</v>
      </c>
      <c r="B86" s="1208">
        <f>'Recycling - Case 1'!AI102</f>
        <v>4920.9177304635441</v>
      </c>
      <c r="C86" s="1209">
        <f>'Recycling - Case 1'!C31</f>
        <v>0.1</v>
      </c>
      <c r="D86" s="1209">
        <f t="shared" si="10"/>
        <v>0.9</v>
      </c>
      <c r="E86" s="53">
        <v>0</v>
      </c>
      <c r="F86" s="53">
        <v>0</v>
      </c>
      <c r="G86" s="776">
        <f t="shared" si="11"/>
        <v>0.39367341843708364</v>
      </c>
      <c r="H86" s="519">
        <f t="shared" si="12"/>
        <v>17.715303829668759</v>
      </c>
      <c r="I86" s="53"/>
      <c r="J86" s="776">
        <f t="shared" si="13"/>
        <v>1.0629182297801256</v>
      </c>
      <c r="K86" s="527">
        <f>'Recycling - Case 1'!Z142</f>
        <v>2767.3809376331187</v>
      </c>
      <c r="L86" s="1209">
        <f>'Recycling - Case 1'!C31</f>
        <v>0.1</v>
      </c>
      <c r="M86" s="1209">
        <f t="shared" si="14"/>
        <v>0.9</v>
      </c>
      <c r="N86" s="53">
        <f t="shared" si="15"/>
        <v>0</v>
      </c>
      <c r="O86" s="53">
        <f t="shared" si="15"/>
        <v>0</v>
      </c>
      <c r="P86" s="178">
        <f t="shared" si="16"/>
        <v>0.22139047501064954</v>
      </c>
      <c r="Q86" s="519">
        <f t="shared" si="5"/>
        <v>9.9625713754792269</v>
      </c>
      <c r="R86" s="53"/>
      <c r="S86" s="1211">
        <f t="shared" si="6"/>
        <v>0.59775428252875362</v>
      </c>
      <c r="T86" s="1198">
        <f t="shared" si="9"/>
        <v>0.61506389344773316</v>
      </c>
      <c r="U86" s="1199">
        <f t="shared" si="9"/>
        <v>27.677875205147984</v>
      </c>
      <c r="V86" s="1199">
        <f t="shared" si="9"/>
        <v>0</v>
      </c>
      <c r="W86" s="1200">
        <f t="shared" si="9"/>
        <v>1.6606725123088792</v>
      </c>
    </row>
    <row r="87" spans="1:23">
      <c r="A87" s="123">
        <f>'Input data'!A123</f>
        <v>2023</v>
      </c>
      <c r="B87" s="1208">
        <f>'Recycling - Case 1'!AI103</f>
        <v>5224.2662774937517</v>
      </c>
      <c r="C87" s="1209">
        <f>C86</f>
        <v>0.1</v>
      </c>
      <c r="D87" s="1209">
        <f t="shared" si="10"/>
        <v>0.9</v>
      </c>
      <c r="E87" s="53">
        <v>0</v>
      </c>
      <c r="F87" s="53">
        <v>0</v>
      </c>
      <c r="G87" s="776">
        <f t="shared" si="11"/>
        <v>0.41794130219950021</v>
      </c>
      <c r="H87" s="519">
        <f t="shared" si="12"/>
        <v>18.807358598977505</v>
      </c>
      <c r="I87" s="53"/>
      <c r="J87" s="776">
        <f t="shared" si="13"/>
        <v>1.1284415159386503</v>
      </c>
      <c r="K87" s="527">
        <f>'Recycling - Case 1'!Z143</f>
        <v>2893.0118150741405</v>
      </c>
      <c r="L87" s="1209">
        <f>L86</f>
        <v>0.1</v>
      </c>
      <c r="M87" s="1209">
        <f t="shared" si="14"/>
        <v>0.9</v>
      </c>
      <c r="N87" s="53">
        <f t="shared" si="15"/>
        <v>0</v>
      </c>
      <c r="O87" s="53">
        <f t="shared" si="15"/>
        <v>0</v>
      </c>
      <c r="P87" s="178">
        <f t="shared" si="16"/>
        <v>0.23144094520593128</v>
      </c>
      <c r="Q87" s="519">
        <f t="shared" si="5"/>
        <v>10.414842534266905</v>
      </c>
      <c r="R87" s="53"/>
      <c r="S87" s="1211">
        <f t="shared" si="6"/>
        <v>0.6248905520560144</v>
      </c>
      <c r="T87" s="1198">
        <f t="shared" si="9"/>
        <v>0.64938224740543149</v>
      </c>
      <c r="U87" s="1199">
        <f t="shared" si="9"/>
        <v>29.222201133244411</v>
      </c>
      <c r="V87" s="1199">
        <f t="shared" si="9"/>
        <v>0</v>
      </c>
      <c r="W87" s="1200">
        <f t="shared" si="9"/>
        <v>1.7533320679946647</v>
      </c>
    </row>
    <row r="88" spans="1:23">
      <c r="A88" s="123">
        <f>'Input data'!A124</f>
        <v>2024</v>
      </c>
      <c r="B88" s="1208">
        <f>'Recycling - Case 1'!AI104</f>
        <v>5527.6148245239583</v>
      </c>
      <c r="C88" s="1209">
        <f t="shared" ref="C88:C114" si="18">C87</f>
        <v>0.1</v>
      </c>
      <c r="D88" s="1209">
        <f t="shared" si="10"/>
        <v>0.9</v>
      </c>
      <c r="E88" s="53">
        <v>0</v>
      </c>
      <c r="F88" s="53">
        <v>0</v>
      </c>
      <c r="G88" s="776">
        <f t="shared" si="11"/>
        <v>0.44220918596191677</v>
      </c>
      <c r="H88" s="519">
        <f t="shared" si="12"/>
        <v>19.89941336828625</v>
      </c>
      <c r="I88" s="53"/>
      <c r="J88" s="776">
        <f t="shared" si="13"/>
        <v>1.1939648020971749</v>
      </c>
      <c r="K88" s="527">
        <f>'Recycling - Case 1'!Z144</f>
        <v>3022.3880140768551</v>
      </c>
      <c r="L88" s="1209">
        <f t="shared" ref="L88:L114" si="19">L87</f>
        <v>0.1</v>
      </c>
      <c r="M88" s="1209">
        <f t="shared" si="14"/>
        <v>0.9</v>
      </c>
      <c r="N88" s="53">
        <f t="shared" si="15"/>
        <v>0</v>
      </c>
      <c r="O88" s="53">
        <f t="shared" si="15"/>
        <v>0</v>
      </c>
      <c r="P88" s="178">
        <f t="shared" si="16"/>
        <v>0.24179104112614846</v>
      </c>
      <c r="Q88" s="519">
        <f t="shared" si="5"/>
        <v>10.880596850676678</v>
      </c>
      <c r="R88" s="53"/>
      <c r="S88" s="1211">
        <f t="shared" si="6"/>
        <v>0.65283581104060062</v>
      </c>
      <c r="T88" s="1198">
        <f t="shared" si="9"/>
        <v>0.68400022708806518</v>
      </c>
      <c r="U88" s="1199">
        <f t="shared" si="9"/>
        <v>30.780010218962929</v>
      </c>
      <c r="V88" s="1199">
        <f t="shared" si="9"/>
        <v>0</v>
      </c>
      <c r="W88" s="1200">
        <f t="shared" si="9"/>
        <v>1.8468006131377757</v>
      </c>
    </row>
    <row r="89" spans="1:23">
      <c r="A89" s="123">
        <f>'Input data'!A125</f>
        <v>2025</v>
      </c>
      <c r="B89" s="1208">
        <f>'Recycling - Case 1'!AI105</f>
        <v>5830.9633715541659</v>
      </c>
      <c r="C89" s="1209">
        <f t="shared" si="18"/>
        <v>0.1</v>
      </c>
      <c r="D89" s="1209">
        <f t="shared" si="10"/>
        <v>0.9</v>
      </c>
      <c r="E89" s="53">
        <v>0</v>
      </c>
      <c r="F89" s="53">
        <v>0</v>
      </c>
      <c r="G89" s="776">
        <f t="shared" si="11"/>
        <v>0.46647706972433339</v>
      </c>
      <c r="H89" s="519">
        <f t="shared" si="12"/>
        <v>20.991468137595</v>
      </c>
      <c r="I89" s="53"/>
      <c r="J89" s="776">
        <f t="shared" si="13"/>
        <v>1.2594880882556998</v>
      </c>
      <c r="K89" s="527">
        <f>'Recycling - Case 1'!Z145</f>
        <v>3145.2559491706606</v>
      </c>
      <c r="L89" s="1209">
        <f t="shared" si="19"/>
        <v>0.1</v>
      </c>
      <c r="M89" s="1209">
        <f t="shared" si="14"/>
        <v>0.9</v>
      </c>
      <c r="N89" s="53">
        <f t="shared" si="15"/>
        <v>0</v>
      </c>
      <c r="O89" s="53">
        <f t="shared" si="15"/>
        <v>0</v>
      </c>
      <c r="P89" s="178">
        <f t="shared" si="16"/>
        <v>0.25162047593365289</v>
      </c>
      <c r="Q89" s="519">
        <f t="shared" si="5"/>
        <v>11.322921417014379</v>
      </c>
      <c r="R89" s="53"/>
      <c r="S89" s="1211">
        <f t="shared" si="6"/>
        <v>0.67937528502086275</v>
      </c>
      <c r="T89" s="1198">
        <f t="shared" si="9"/>
        <v>0.71809754565798634</v>
      </c>
      <c r="U89" s="1199">
        <f t="shared" si="9"/>
        <v>32.314389554609377</v>
      </c>
      <c r="V89" s="1199">
        <f t="shared" si="9"/>
        <v>0</v>
      </c>
      <c r="W89" s="1200">
        <f t="shared" si="9"/>
        <v>1.9388633732765626</v>
      </c>
    </row>
    <row r="90" spans="1:23">
      <c r="A90" s="123">
        <f>'Input data'!A126</f>
        <v>2026</v>
      </c>
      <c r="B90" s="1208">
        <f>'Recycling - Case 1'!AI106</f>
        <v>6134.3119185843725</v>
      </c>
      <c r="C90" s="1209">
        <f t="shared" si="18"/>
        <v>0.1</v>
      </c>
      <c r="D90" s="1209">
        <f t="shared" si="10"/>
        <v>0.9</v>
      </c>
      <c r="E90" s="53">
        <v>0</v>
      </c>
      <c r="F90" s="53">
        <v>0</v>
      </c>
      <c r="G90" s="776">
        <f t="shared" si="11"/>
        <v>0.4907449534867499</v>
      </c>
      <c r="H90" s="519">
        <f t="shared" si="12"/>
        <v>22.083522906903742</v>
      </c>
      <c r="I90" s="53"/>
      <c r="J90" s="776">
        <f t="shared" si="13"/>
        <v>1.3250113744142245</v>
      </c>
      <c r="K90" s="527">
        <f>'Recycling - Case 1'!Z146</f>
        <v>3264.2641089478384</v>
      </c>
      <c r="L90" s="1209">
        <f t="shared" si="19"/>
        <v>0.1</v>
      </c>
      <c r="M90" s="1209">
        <f t="shared" si="14"/>
        <v>0.9</v>
      </c>
      <c r="N90" s="53">
        <f t="shared" si="15"/>
        <v>0</v>
      </c>
      <c r="O90" s="53">
        <f t="shared" si="15"/>
        <v>0</v>
      </c>
      <c r="P90" s="178">
        <f t="shared" si="16"/>
        <v>0.26114112871582712</v>
      </c>
      <c r="Q90" s="519">
        <f t="shared" si="5"/>
        <v>11.75135079221222</v>
      </c>
      <c r="R90" s="53"/>
      <c r="S90" s="1211">
        <f t="shared" si="6"/>
        <v>0.70508104753273315</v>
      </c>
      <c r="T90" s="1198">
        <f t="shared" si="9"/>
        <v>0.75188608220257702</v>
      </c>
      <c r="U90" s="1199">
        <f t="shared" si="9"/>
        <v>33.83487369911596</v>
      </c>
      <c r="V90" s="1199">
        <f t="shared" si="9"/>
        <v>0</v>
      </c>
      <c r="W90" s="1200">
        <f t="shared" si="9"/>
        <v>2.0300924219469576</v>
      </c>
    </row>
    <row r="91" spans="1:23">
      <c r="A91" s="123">
        <f>'Input data'!A127</f>
        <v>2027</v>
      </c>
      <c r="B91" s="1208">
        <f>'Recycling - Case 1'!AI107</f>
        <v>6437.6604656145792</v>
      </c>
      <c r="C91" s="1209">
        <f t="shared" si="18"/>
        <v>0.1</v>
      </c>
      <c r="D91" s="1209">
        <f t="shared" si="10"/>
        <v>0.9</v>
      </c>
      <c r="E91" s="53">
        <v>0</v>
      </c>
      <c r="F91" s="53">
        <v>0</v>
      </c>
      <c r="G91" s="776">
        <f t="shared" si="11"/>
        <v>0.51501283724916636</v>
      </c>
      <c r="H91" s="519">
        <f t="shared" si="12"/>
        <v>23.175577676212484</v>
      </c>
      <c r="I91" s="53"/>
      <c r="J91" s="776">
        <f t="shared" si="13"/>
        <v>1.3905346605727491</v>
      </c>
      <c r="K91" s="527">
        <f>'Recycling - Case 1'!Z147</f>
        <v>3379.7386694672964</v>
      </c>
      <c r="L91" s="1209">
        <f t="shared" si="19"/>
        <v>0.1</v>
      </c>
      <c r="M91" s="1209">
        <f t="shared" si="14"/>
        <v>0.9</v>
      </c>
      <c r="N91" s="53">
        <f t="shared" si="15"/>
        <v>0</v>
      </c>
      <c r="O91" s="53">
        <f t="shared" si="15"/>
        <v>0</v>
      </c>
      <c r="P91" s="178">
        <f t="shared" si="16"/>
        <v>0.27037909355738377</v>
      </c>
      <c r="Q91" s="519">
        <f t="shared" si="5"/>
        <v>12.167059210082266</v>
      </c>
      <c r="R91" s="53"/>
      <c r="S91" s="1211">
        <f t="shared" si="6"/>
        <v>0.73002355260493612</v>
      </c>
      <c r="T91" s="1198">
        <f t="shared" si="9"/>
        <v>0.78539193080655012</v>
      </c>
      <c r="U91" s="1199">
        <f t="shared" si="9"/>
        <v>35.342636886294748</v>
      </c>
      <c r="V91" s="1199">
        <f t="shared" si="9"/>
        <v>0</v>
      </c>
      <c r="W91" s="1200">
        <f t="shared" si="9"/>
        <v>2.1205582131776852</v>
      </c>
    </row>
    <row r="92" spans="1:23">
      <c r="A92" s="123">
        <f>'Input data'!A128</f>
        <v>2028</v>
      </c>
      <c r="B92" s="1208">
        <f>'Recycling - Case 1'!AI108</f>
        <v>6437.6604656145792</v>
      </c>
      <c r="C92" s="1209">
        <f t="shared" si="18"/>
        <v>0.1</v>
      </c>
      <c r="D92" s="1209">
        <f t="shared" si="10"/>
        <v>0.9</v>
      </c>
      <c r="E92" s="53">
        <v>0</v>
      </c>
      <c r="F92" s="53">
        <v>0</v>
      </c>
      <c r="G92" s="776">
        <f t="shared" si="11"/>
        <v>0.51501283724916636</v>
      </c>
      <c r="H92" s="519">
        <f t="shared" si="12"/>
        <v>23.175577676212484</v>
      </c>
      <c r="I92" s="53"/>
      <c r="J92" s="776">
        <f t="shared" si="13"/>
        <v>1.3905346605727491</v>
      </c>
      <c r="K92" s="527">
        <f>'Recycling - Case 1'!Z148</f>
        <v>3426.3883095687434</v>
      </c>
      <c r="L92" s="1209">
        <f t="shared" si="19"/>
        <v>0.1</v>
      </c>
      <c r="M92" s="1209">
        <f t="shared" si="14"/>
        <v>0.9</v>
      </c>
      <c r="N92" s="53">
        <f t="shared" si="15"/>
        <v>0</v>
      </c>
      <c r="O92" s="53">
        <f t="shared" si="15"/>
        <v>0</v>
      </c>
      <c r="P92" s="178">
        <f t="shared" si="16"/>
        <v>0.27411106476549951</v>
      </c>
      <c r="Q92" s="519">
        <f t="shared" si="5"/>
        <v>12.334997914447477</v>
      </c>
      <c r="R92" s="53"/>
      <c r="S92" s="1211">
        <f t="shared" si="6"/>
        <v>0.74009987486684858</v>
      </c>
      <c r="T92" s="1198">
        <f t="shared" si="9"/>
        <v>0.78912390201466587</v>
      </c>
      <c r="U92" s="1199">
        <f t="shared" si="9"/>
        <v>35.510575590659961</v>
      </c>
      <c r="V92" s="1199">
        <f t="shared" si="9"/>
        <v>0</v>
      </c>
      <c r="W92" s="1200">
        <f t="shared" si="9"/>
        <v>2.1306345354395977</v>
      </c>
    </row>
    <row r="93" spans="1:23">
      <c r="A93" s="123">
        <f>'Input data'!A129</f>
        <v>2029</v>
      </c>
      <c r="B93" s="1208">
        <f>'Recycling - Case 1'!AI109</f>
        <v>6437.6604656145792</v>
      </c>
      <c r="C93" s="1209">
        <f t="shared" si="18"/>
        <v>0.1</v>
      </c>
      <c r="D93" s="1209">
        <f t="shared" si="10"/>
        <v>0.9</v>
      </c>
      <c r="E93" s="53">
        <v>0</v>
      </c>
      <c r="F93" s="53">
        <v>0</v>
      </c>
      <c r="G93" s="776">
        <f t="shared" si="11"/>
        <v>0.51501283724916636</v>
      </c>
      <c r="H93" s="519">
        <f t="shared" si="12"/>
        <v>23.175577676212484</v>
      </c>
      <c r="I93" s="53"/>
      <c r="J93" s="776">
        <f t="shared" si="13"/>
        <v>1.3905346605727491</v>
      </c>
      <c r="K93" s="527">
        <f>'Recycling - Case 1'!Z149</f>
        <v>3485.8660805942818</v>
      </c>
      <c r="L93" s="1209">
        <f t="shared" si="19"/>
        <v>0.1</v>
      </c>
      <c r="M93" s="1209">
        <f t="shared" si="14"/>
        <v>0.9</v>
      </c>
      <c r="N93" s="53">
        <f t="shared" si="15"/>
        <v>0</v>
      </c>
      <c r="O93" s="53">
        <f t="shared" si="15"/>
        <v>0</v>
      </c>
      <c r="P93" s="178">
        <f t="shared" si="16"/>
        <v>0.27886928644754261</v>
      </c>
      <c r="Q93" s="519">
        <f t="shared" si="5"/>
        <v>12.549117890139414</v>
      </c>
      <c r="R93" s="53"/>
      <c r="S93" s="1211">
        <f t="shared" si="6"/>
        <v>0.75294707340836486</v>
      </c>
      <c r="T93" s="1198">
        <f t="shared" si="9"/>
        <v>0.79388212369670896</v>
      </c>
      <c r="U93" s="1199">
        <f t="shared" si="9"/>
        <v>35.724695566351897</v>
      </c>
      <c r="V93" s="1199">
        <f t="shared" si="9"/>
        <v>0</v>
      </c>
      <c r="W93" s="1200">
        <f t="shared" si="9"/>
        <v>2.1434817339811141</v>
      </c>
    </row>
    <row r="94" spans="1:23">
      <c r="A94" s="123">
        <f>'Input data'!A130</f>
        <v>2030</v>
      </c>
      <c r="B94" s="1208">
        <f>'Recycling - Case 1'!AI110</f>
        <v>6437.6604656145792</v>
      </c>
      <c r="C94" s="1209">
        <f t="shared" si="18"/>
        <v>0.1</v>
      </c>
      <c r="D94" s="1209">
        <f t="shared" si="10"/>
        <v>0.9</v>
      </c>
      <c r="E94" s="53">
        <v>0</v>
      </c>
      <c r="F94" s="53">
        <v>0</v>
      </c>
      <c r="G94" s="776">
        <f t="shared" si="11"/>
        <v>0.51501283724916636</v>
      </c>
      <c r="H94" s="519">
        <f t="shared" si="12"/>
        <v>23.175577676212484</v>
      </c>
      <c r="I94" s="53"/>
      <c r="J94" s="776">
        <f t="shared" si="13"/>
        <v>1.3905346605727491</v>
      </c>
      <c r="K94" s="527">
        <f>'Recycling - Case 1'!Z150</f>
        <v>3538.217660793739</v>
      </c>
      <c r="L94" s="1209">
        <f t="shared" si="19"/>
        <v>0.1</v>
      </c>
      <c r="M94" s="1209">
        <f t="shared" si="14"/>
        <v>0.9</v>
      </c>
      <c r="N94" s="53">
        <f t="shared" si="15"/>
        <v>0</v>
      </c>
      <c r="O94" s="53">
        <f t="shared" si="15"/>
        <v>0</v>
      </c>
      <c r="P94" s="178">
        <f t="shared" si="16"/>
        <v>0.28305741286349917</v>
      </c>
      <c r="Q94" s="519">
        <f t="shared" si="5"/>
        <v>12.737583578857461</v>
      </c>
      <c r="R94" s="53"/>
      <c r="S94" s="1211">
        <f t="shared" si="6"/>
        <v>0.76425501473144763</v>
      </c>
      <c r="T94" s="1198">
        <f t="shared" si="9"/>
        <v>0.79807025011266552</v>
      </c>
      <c r="U94" s="1199">
        <f t="shared" si="9"/>
        <v>35.913161255069944</v>
      </c>
      <c r="V94" s="1199">
        <f t="shared" si="9"/>
        <v>0</v>
      </c>
      <c r="W94" s="1200">
        <f t="shared" si="9"/>
        <v>2.1547896753041966</v>
      </c>
    </row>
    <row r="95" spans="1:23">
      <c r="A95" s="123">
        <f>'Input data'!A131</f>
        <v>2031</v>
      </c>
      <c r="B95" s="1208">
        <f>'Recycling - Case 1'!AI111</f>
        <v>6437.6604656145792</v>
      </c>
      <c r="C95" s="1209">
        <f t="shared" si="18"/>
        <v>0.1</v>
      </c>
      <c r="D95" s="1209">
        <f t="shared" si="10"/>
        <v>0.9</v>
      </c>
      <c r="E95" s="53">
        <v>0</v>
      </c>
      <c r="F95" s="53">
        <v>0</v>
      </c>
      <c r="G95" s="776">
        <f t="shared" si="11"/>
        <v>0.51501283724916636</v>
      </c>
      <c r="H95" s="519">
        <f t="shared" si="12"/>
        <v>23.175577676212484</v>
      </c>
      <c r="I95" s="53"/>
      <c r="J95" s="776">
        <f t="shared" si="13"/>
        <v>1.3905346605727491</v>
      </c>
      <c r="K95" s="527">
        <f>'Recycling - Case 1'!Z151</f>
        <v>3504.1852978367515</v>
      </c>
      <c r="L95" s="1209">
        <f t="shared" si="19"/>
        <v>0.1</v>
      </c>
      <c r="M95" s="1209">
        <f t="shared" si="14"/>
        <v>0.9</v>
      </c>
      <c r="N95" s="53">
        <f t="shared" si="15"/>
        <v>0</v>
      </c>
      <c r="O95" s="53">
        <f t="shared" si="15"/>
        <v>0</v>
      </c>
      <c r="P95" s="178">
        <f t="shared" si="16"/>
        <v>0.28033482382694019</v>
      </c>
      <c r="Q95" s="519">
        <f t="shared" si="5"/>
        <v>12.615067072212305</v>
      </c>
      <c r="R95" s="53"/>
      <c r="S95" s="1211">
        <f t="shared" si="6"/>
        <v>0.75690402433273829</v>
      </c>
      <c r="T95" s="1198">
        <f t="shared" si="9"/>
        <v>0.79534766107610655</v>
      </c>
      <c r="U95" s="1199">
        <f t="shared" si="9"/>
        <v>35.790644748424789</v>
      </c>
      <c r="V95" s="1199">
        <f t="shared" si="9"/>
        <v>0</v>
      </c>
      <c r="W95" s="1200">
        <f t="shared" si="9"/>
        <v>2.1474386849054872</v>
      </c>
    </row>
    <row r="96" spans="1:23">
      <c r="A96" s="123">
        <f>'Input data'!A132</f>
        <v>2032</v>
      </c>
      <c r="B96" s="1208">
        <f>'Recycling - Case 1'!AI112</f>
        <v>6437.6604656145792</v>
      </c>
      <c r="C96" s="1209">
        <f t="shared" si="18"/>
        <v>0.1</v>
      </c>
      <c r="D96" s="1209">
        <f t="shared" si="10"/>
        <v>0.9</v>
      </c>
      <c r="E96" s="53">
        <v>0</v>
      </c>
      <c r="F96" s="53">
        <v>0</v>
      </c>
      <c r="G96" s="776">
        <f t="shared" si="11"/>
        <v>0.51501283724916636</v>
      </c>
      <c r="H96" s="519">
        <f t="shared" si="12"/>
        <v>23.175577676212484</v>
      </c>
      <c r="I96" s="53"/>
      <c r="J96" s="776">
        <f t="shared" si="13"/>
        <v>1.3905346605727491</v>
      </c>
      <c r="K96" s="527">
        <f>'Recycling - Case 1'!Z152</f>
        <v>3598.6028123457536</v>
      </c>
      <c r="L96" s="1209">
        <f t="shared" si="19"/>
        <v>0.1</v>
      </c>
      <c r="M96" s="1209">
        <f t="shared" si="14"/>
        <v>0.9</v>
      </c>
      <c r="N96" s="53">
        <f t="shared" si="15"/>
        <v>0</v>
      </c>
      <c r="O96" s="53">
        <f t="shared" si="15"/>
        <v>0</v>
      </c>
      <c r="P96" s="178">
        <f t="shared" si="16"/>
        <v>0.28788822498766037</v>
      </c>
      <c r="Q96" s="519">
        <f t="shared" si="5"/>
        <v>12.954970124444714</v>
      </c>
      <c r="R96" s="53"/>
      <c r="S96" s="1211">
        <f t="shared" si="6"/>
        <v>0.77729820746668277</v>
      </c>
      <c r="T96" s="1198">
        <f t="shared" si="9"/>
        <v>0.80290106223682667</v>
      </c>
      <c r="U96" s="1199">
        <f t="shared" si="9"/>
        <v>36.130547800657197</v>
      </c>
      <c r="V96" s="1199">
        <f t="shared" si="9"/>
        <v>0</v>
      </c>
      <c r="W96" s="1200">
        <f t="shared" si="9"/>
        <v>2.1678328680394321</v>
      </c>
    </row>
    <row r="97" spans="1:23">
      <c r="A97" s="123">
        <f>'Input data'!A133</f>
        <v>2033</v>
      </c>
      <c r="B97" s="1208">
        <f>'Recycling - Case 1'!AI113</f>
        <v>6437.6604656145792</v>
      </c>
      <c r="C97" s="1209">
        <f t="shared" si="18"/>
        <v>0.1</v>
      </c>
      <c r="D97" s="1209">
        <f t="shared" si="10"/>
        <v>0.9</v>
      </c>
      <c r="E97" s="53">
        <v>0</v>
      </c>
      <c r="F97" s="53">
        <v>0</v>
      </c>
      <c r="G97" s="776">
        <f t="shared" si="11"/>
        <v>0.51501283724916636</v>
      </c>
      <c r="H97" s="519">
        <f t="shared" si="12"/>
        <v>23.175577676212484</v>
      </c>
      <c r="I97" s="53"/>
      <c r="J97" s="776">
        <f t="shared" si="13"/>
        <v>1.3905346605727491</v>
      </c>
      <c r="K97" s="527">
        <f>'Recycling - Case 1'!Z153</f>
        <v>3689.9033028722483</v>
      </c>
      <c r="L97" s="1209">
        <f t="shared" si="19"/>
        <v>0.1</v>
      </c>
      <c r="M97" s="1209">
        <f t="shared" si="14"/>
        <v>0.9</v>
      </c>
      <c r="N97" s="53">
        <f t="shared" si="15"/>
        <v>0</v>
      </c>
      <c r="O97" s="53">
        <f t="shared" si="15"/>
        <v>0</v>
      </c>
      <c r="P97" s="178">
        <f t="shared" si="16"/>
        <v>0.29519226422977995</v>
      </c>
      <c r="Q97" s="519">
        <f t="shared" si="5"/>
        <v>13.283651890340094</v>
      </c>
      <c r="R97" s="53"/>
      <c r="S97" s="1211">
        <f t="shared" si="6"/>
        <v>0.79701911342040554</v>
      </c>
      <c r="T97" s="1198">
        <f t="shared" si="9"/>
        <v>0.81020510147894631</v>
      </c>
      <c r="U97" s="1199">
        <f t="shared" si="9"/>
        <v>36.45922956655258</v>
      </c>
      <c r="V97" s="1199">
        <f t="shared" si="9"/>
        <v>0</v>
      </c>
      <c r="W97" s="1200">
        <f t="shared" si="9"/>
        <v>2.1875537739931548</v>
      </c>
    </row>
    <row r="98" spans="1:23">
      <c r="A98" s="123">
        <f>'Input data'!A134</f>
        <v>2034</v>
      </c>
      <c r="B98" s="1208">
        <f>'Recycling - Case 1'!AI114</f>
        <v>6437.6604656145792</v>
      </c>
      <c r="C98" s="1209">
        <f t="shared" si="18"/>
        <v>0.1</v>
      </c>
      <c r="D98" s="1209">
        <f t="shared" si="10"/>
        <v>0.9</v>
      </c>
      <c r="E98" s="53">
        <v>0</v>
      </c>
      <c r="F98" s="53">
        <v>0</v>
      </c>
      <c r="G98" s="776">
        <f t="shared" si="11"/>
        <v>0.51501283724916636</v>
      </c>
      <c r="H98" s="519">
        <f t="shared" si="12"/>
        <v>23.175577676212484</v>
      </c>
      <c r="I98" s="53"/>
      <c r="J98" s="776">
        <f t="shared" si="13"/>
        <v>1.3905346605727491</v>
      </c>
      <c r="K98" s="527">
        <f>'Recycling - Case 1'!Z154</f>
        <v>3802.1747903841533</v>
      </c>
      <c r="L98" s="1209">
        <f t="shared" si="19"/>
        <v>0.1</v>
      </c>
      <c r="M98" s="1209">
        <f t="shared" si="14"/>
        <v>0.9</v>
      </c>
      <c r="N98" s="53">
        <f t="shared" si="15"/>
        <v>0</v>
      </c>
      <c r="O98" s="53">
        <f t="shared" si="15"/>
        <v>0</v>
      </c>
      <c r="P98" s="178">
        <f t="shared" si="16"/>
        <v>0.30417398323073236</v>
      </c>
      <c r="Q98" s="519">
        <f t="shared" si="5"/>
        <v>13.687829245382952</v>
      </c>
      <c r="R98" s="53"/>
      <c r="S98" s="1211">
        <f t="shared" si="6"/>
        <v>0.82126975472297714</v>
      </c>
      <c r="T98" s="1198">
        <f t="shared" si="9"/>
        <v>0.81918682047989866</v>
      </c>
      <c r="U98" s="1199">
        <f t="shared" si="9"/>
        <v>36.863406921595434</v>
      </c>
      <c r="V98" s="1199">
        <f t="shared" si="9"/>
        <v>0</v>
      </c>
      <c r="W98" s="1200">
        <f t="shared" si="9"/>
        <v>2.2118044152957261</v>
      </c>
    </row>
    <row r="99" spans="1:23">
      <c r="A99" s="123">
        <f>'Input data'!A135</f>
        <v>2035</v>
      </c>
      <c r="B99" s="1208">
        <f>'Recycling - Case 1'!AI115</f>
        <v>6437.6604656145792</v>
      </c>
      <c r="C99" s="1209">
        <f t="shared" si="18"/>
        <v>0.1</v>
      </c>
      <c r="D99" s="1209">
        <f t="shared" si="10"/>
        <v>0.9</v>
      </c>
      <c r="E99" s="53">
        <v>0</v>
      </c>
      <c r="F99" s="53">
        <v>0</v>
      </c>
      <c r="G99" s="776">
        <f t="shared" si="11"/>
        <v>0.51501283724916636</v>
      </c>
      <c r="H99" s="519">
        <f t="shared" si="12"/>
        <v>23.175577676212484</v>
      </c>
      <c r="I99" s="53"/>
      <c r="J99" s="776">
        <f t="shared" si="13"/>
        <v>1.3905346605727491</v>
      </c>
      <c r="K99" s="527">
        <f>'Recycling - Case 1'!Z155</f>
        <v>3897.4519949695709</v>
      </c>
      <c r="L99" s="1209">
        <f t="shared" si="19"/>
        <v>0.1</v>
      </c>
      <c r="M99" s="1209">
        <f t="shared" si="14"/>
        <v>0.9</v>
      </c>
      <c r="N99" s="53">
        <f t="shared" ref="N99:O114" si="20">N97</f>
        <v>0</v>
      </c>
      <c r="O99" s="53">
        <f t="shared" si="20"/>
        <v>0</v>
      </c>
      <c r="P99" s="178">
        <f>L99*$D$5*K99/1000-N99</f>
        <v>0.31179615959756574</v>
      </c>
      <c r="Q99" s="519">
        <f t="shared" si="5"/>
        <v>14.030827181890455</v>
      </c>
      <c r="R99" s="53"/>
      <c r="S99" s="1211">
        <f t="shared" si="6"/>
        <v>0.84184963091342724</v>
      </c>
      <c r="T99" s="1198">
        <f t="shared" si="9"/>
        <v>0.82680899684673204</v>
      </c>
      <c r="U99" s="1199">
        <f t="shared" si="9"/>
        <v>37.206404858102943</v>
      </c>
      <c r="V99" s="1199">
        <f t="shared" si="9"/>
        <v>0</v>
      </c>
      <c r="W99" s="1200">
        <f t="shared" si="9"/>
        <v>2.2323842914861762</v>
      </c>
    </row>
    <row r="100" spans="1:23">
      <c r="A100" s="123">
        <f>'Input data'!A136</f>
        <v>2036</v>
      </c>
      <c r="B100" s="1208">
        <f>'Recycling - Case 1'!AI116</f>
        <v>6437.6604656145792</v>
      </c>
      <c r="C100" s="1209">
        <f t="shared" si="18"/>
        <v>0.1</v>
      </c>
      <c r="D100" s="1209">
        <f t="shared" si="10"/>
        <v>0.9</v>
      </c>
      <c r="E100" s="53">
        <v>0</v>
      </c>
      <c r="F100" s="53">
        <v>0</v>
      </c>
      <c r="G100" s="776">
        <f t="shared" si="11"/>
        <v>0.51501283724916636</v>
      </c>
      <c r="H100" s="519">
        <f t="shared" si="12"/>
        <v>23.175577676212484</v>
      </c>
      <c r="I100" s="53"/>
      <c r="J100" s="776">
        <f>D100*$D$7*B100/1000</f>
        <v>1.3905346605727491</v>
      </c>
      <c r="K100" s="527">
        <f>'Recycling - Case 1'!Z156</f>
        <v>3992.1553192580318</v>
      </c>
      <c r="L100" s="1209">
        <f t="shared" si="19"/>
        <v>0.1</v>
      </c>
      <c r="M100" s="1209">
        <f t="shared" si="14"/>
        <v>0.9</v>
      </c>
      <c r="N100" s="53">
        <f t="shared" si="20"/>
        <v>0</v>
      </c>
      <c r="O100" s="53">
        <f t="shared" si="20"/>
        <v>0</v>
      </c>
      <c r="P100" s="178">
        <f t="shared" si="16"/>
        <v>0.3193724255406426</v>
      </c>
      <c r="Q100" s="519">
        <f t="shared" si="5"/>
        <v>14.371759149328915</v>
      </c>
      <c r="R100" s="53"/>
      <c r="S100" s="1211">
        <f t="shared" si="6"/>
        <v>0.86230554895973488</v>
      </c>
      <c r="T100" s="1198">
        <f t="shared" si="9"/>
        <v>0.83438526278980896</v>
      </c>
      <c r="U100" s="1199">
        <f t="shared" si="9"/>
        <v>37.5473368255414</v>
      </c>
      <c r="V100" s="1199">
        <f t="shared" si="9"/>
        <v>0</v>
      </c>
      <c r="W100" s="1200">
        <f t="shared" si="9"/>
        <v>2.2528402095324838</v>
      </c>
    </row>
    <row r="101" spans="1:23">
      <c r="A101" s="123">
        <f>'Input data'!A137</f>
        <v>2037</v>
      </c>
      <c r="B101" s="1208">
        <f>'Recycling - Case 1'!AI117</f>
        <v>6437.6604656145792</v>
      </c>
      <c r="C101" s="1209">
        <f t="shared" si="18"/>
        <v>0.1</v>
      </c>
      <c r="D101" s="1209">
        <f t="shared" si="10"/>
        <v>0.9</v>
      </c>
      <c r="E101" s="53">
        <v>0</v>
      </c>
      <c r="F101" s="53">
        <v>0</v>
      </c>
      <c r="G101" s="776">
        <f t="shared" si="11"/>
        <v>0.51501283724916636</v>
      </c>
      <c r="H101" s="519">
        <f t="shared" si="12"/>
        <v>23.175577676212484</v>
      </c>
      <c r="I101" s="53"/>
      <c r="J101" s="776">
        <f t="shared" si="13"/>
        <v>1.3905346605727491</v>
      </c>
      <c r="K101" s="527">
        <f>'Recycling - Case 1'!Z157</f>
        <v>4095.1250637445028</v>
      </c>
      <c r="L101" s="1209">
        <f t="shared" si="19"/>
        <v>0.1</v>
      </c>
      <c r="M101" s="1209">
        <f t="shared" si="14"/>
        <v>0.9</v>
      </c>
      <c r="N101" s="53">
        <f t="shared" si="20"/>
        <v>0</v>
      </c>
      <c r="O101" s="53">
        <f t="shared" si="20"/>
        <v>0</v>
      </c>
      <c r="P101" s="178">
        <f t="shared" si="16"/>
        <v>0.32761000509956029</v>
      </c>
      <c r="Q101" s="519">
        <f t="shared" si="5"/>
        <v>14.742450229480209</v>
      </c>
      <c r="R101" s="53"/>
      <c r="S101" s="1211">
        <f t="shared" si="6"/>
        <v>0.88454701376881262</v>
      </c>
      <c r="T101" s="1198">
        <f t="shared" si="9"/>
        <v>0.84262284234872664</v>
      </c>
      <c r="U101" s="1199">
        <f t="shared" si="9"/>
        <v>37.918027905692696</v>
      </c>
      <c r="V101" s="1199">
        <f t="shared" si="9"/>
        <v>0</v>
      </c>
      <c r="W101" s="1200">
        <f t="shared" si="9"/>
        <v>2.2750816743415618</v>
      </c>
    </row>
    <row r="102" spans="1:23">
      <c r="A102" s="123">
        <f>'Input data'!A138</f>
        <v>2038</v>
      </c>
      <c r="B102" s="1208">
        <f>'Recycling - Case 1'!AI118</f>
        <v>6437.6604656145792</v>
      </c>
      <c r="C102" s="1209">
        <f t="shared" si="18"/>
        <v>0.1</v>
      </c>
      <c r="D102" s="1209">
        <f t="shared" si="10"/>
        <v>0.9</v>
      </c>
      <c r="E102" s="53">
        <v>0</v>
      </c>
      <c r="F102" s="53">
        <v>0</v>
      </c>
      <c r="G102" s="776">
        <f t="shared" si="11"/>
        <v>0.51501283724916636</v>
      </c>
      <c r="H102" s="519">
        <f t="shared" si="12"/>
        <v>23.175577676212484</v>
      </c>
      <c r="I102" s="53"/>
      <c r="J102" s="776">
        <f t="shared" si="13"/>
        <v>1.3905346605727491</v>
      </c>
      <c r="K102" s="527">
        <f>'Recycling - Case 1'!Z158</f>
        <v>4195.0479450616976</v>
      </c>
      <c r="L102" s="1209">
        <f t="shared" si="19"/>
        <v>0.1</v>
      </c>
      <c r="M102" s="1209">
        <f t="shared" si="14"/>
        <v>0.9</v>
      </c>
      <c r="N102" s="53">
        <f t="shared" si="20"/>
        <v>0</v>
      </c>
      <c r="O102" s="53">
        <f t="shared" si="20"/>
        <v>0</v>
      </c>
      <c r="P102" s="178">
        <f t="shared" si="16"/>
        <v>0.33560383560493584</v>
      </c>
      <c r="Q102" s="519">
        <f t="shared" si="5"/>
        <v>15.102172602222112</v>
      </c>
      <c r="R102" s="53"/>
      <c r="S102" s="1211">
        <f t="shared" si="6"/>
        <v>0.90613035613332671</v>
      </c>
      <c r="T102" s="1198">
        <f t="shared" si="9"/>
        <v>0.85061667285410225</v>
      </c>
      <c r="U102" s="1199">
        <f t="shared" si="9"/>
        <v>38.277750278434596</v>
      </c>
      <c r="V102" s="1199">
        <f t="shared" si="9"/>
        <v>0</v>
      </c>
      <c r="W102" s="1200">
        <f t="shared" si="9"/>
        <v>2.2966650167060756</v>
      </c>
    </row>
    <row r="103" spans="1:23">
      <c r="A103" s="123">
        <f>'Input data'!A139</f>
        <v>2039</v>
      </c>
      <c r="B103" s="1208">
        <f>'Recycling - Case 1'!AI119</f>
        <v>6437.6604656145792</v>
      </c>
      <c r="C103" s="1209">
        <f t="shared" si="18"/>
        <v>0.1</v>
      </c>
      <c r="D103" s="1209">
        <f t="shared" si="10"/>
        <v>0.9</v>
      </c>
      <c r="E103" s="53">
        <v>0</v>
      </c>
      <c r="F103" s="53">
        <v>0</v>
      </c>
      <c r="G103" s="776">
        <f t="shared" si="11"/>
        <v>0.51501283724916636</v>
      </c>
      <c r="H103" s="519">
        <f t="shared" si="12"/>
        <v>23.175577676212484</v>
      </c>
      <c r="I103" s="53"/>
      <c r="J103" s="776">
        <f t="shared" si="13"/>
        <v>1.3905346605727491</v>
      </c>
      <c r="K103" s="527">
        <f>'Recycling - Case 1'!Z159</f>
        <v>4297.1410898359891</v>
      </c>
      <c r="L103" s="1209">
        <f t="shared" si="19"/>
        <v>0.1</v>
      </c>
      <c r="M103" s="1209">
        <f t="shared" si="14"/>
        <v>0.9</v>
      </c>
      <c r="N103" s="53">
        <f t="shared" si="20"/>
        <v>0</v>
      </c>
      <c r="O103" s="53">
        <f t="shared" si="20"/>
        <v>0</v>
      </c>
      <c r="P103" s="178">
        <f t="shared" si="16"/>
        <v>0.34377128718687922</v>
      </c>
      <c r="Q103" s="519">
        <f t="shared" si="5"/>
        <v>15.469707923409562</v>
      </c>
      <c r="R103" s="53"/>
      <c r="S103" s="1211">
        <f t="shared" si="6"/>
        <v>0.92818247540457366</v>
      </c>
      <c r="T103" s="1198">
        <f t="shared" si="9"/>
        <v>0.85878412443604557</v>
      </c>
      <c r="U103" s="1199">
        <f t="shared" si="9"/>
        <v>38.645285599622042</v>
      </c>
      <c r="V103" s="1199">
        <f t="shared" si="9"/>
        <v>0</v>
      </c>
      <c r="W103" s="1200">
        <f t="shared" si="9"/>
        <v>2.3187171359773227</v>
      </c>
    </row>
    <row r="104" spans="1:23">
      <c r="A104" s="123">
        <f>'Input data'!A140</f>
        <v>2040</v>
      </c>
      <c r="B104" s="1208">
        <f>'Recycling - Case 1'!AI120</f>
        <v>6437.6604656145792</v>
      </c>
      <c r="C104" s="1209">
        <f t="shared" si="18"/>
        <v>0.1</v>
      </c>
      <c r="D104" s="1209">
        <f t="shared" si="10"/>
        <v>0.9</v>
      </c>
      <c r="E104" s="53">
        <v>0</v>
      </c>
      <c r="F104" s="53">
        <v>0</v>
      </c>
      <c r="G104" s="776">
        <f t="shared" si="11"/>
        <v>0.51501283724916636</v>
      </c>
      <c r="H104" s="519">
        <f t="shared" si="12"/>
        <v>23.175577676212484</v>
      </c>
      <c r="I104" s="53"/>
      <c r="J104" s="776">
        <f t="shared" si="13"/>
        <v>1.3905346605727491</v>
      </c>
      <c r="K104" s="527">
        <f>'Recycling - Case 1'!Z160</f>
        <v>4400.5229525333853</v>
      </c>
      <c r="L104" s="1209">
        <f t="shared" si="19"/>
        <v>0.1</v>
      </c>
      <c r="M104" s="1209">
        <f t="shared" si="14"/>
        <v>0.9</v>
      </c>
      <c r="N104" s="53">
        <f t="shared" si="20"/>
        <v>0</v>
      </c>
      <c r="O104" s="53">
        <f t="shared" si="20"/>
        <v>0</v>
      </c>
      <c r="P104" s="178">
        <f t="shared" si="16"/>
        <v>0.35204183620267088</v>
      </c>
      <c r="Q104" s="519">
        <f t="shared" si="5"/>
        <v>15.841882629120187</v>
      </c>
      <c r="R104" s="53"/>
      <c r="S104" s="1211">
        <f t="shared" si="6"/>
        <v>0.95051295774721123</v>
      </c>
      <c r="T104" s="1198">
        <f t="shared" si="9"/>
        <v>0.86705467345183718</v>
      </c>
      <c r="U104" s="1199">
        <f t="shared" si="9"/>
        <v>39.017460305332669</v>
      </c>
      <c r="V104" s="1199">
        <f t="shared" si="9"/>
        <v>0</v>
      </c>
      <c r="W104" s="1200">
        <f t="shared" si="9"/>
        <v>2.3410476183199602</v>
      </c>
    </row>
    <row r="105" spans="1:23">
      <c r="A105" s="123">
        <f>'Input data'!A141</f>
        <v>2041</v>
      </c>
      <c r="B105" s="1208">
        <f>'Recycling - Case 1'!AI121</f>
        <v>6437.6604656145792</v>
      </c>
      <c r="C105" s="1209">
        <f t="shared" si="18"/>
        <v>0.1</v>
      </c>
      <c r="D105" s="1209">
        <f t="shared" si="10"/>
        <v>0.9</v>
      </c>
      <c r="E105" s="53">
        <v>0</v>
      </c>
      <c r="F105" s="53">
        <v>0</v>
      </c>
      <c r="G105" s="776">
        <f t="shared" si="11"/>
        <v>0.51501283724916636</v>
      </c>
      <c r="H105" s="519">
        <f t="shared" si="12"/>
        <v>23.175577676212484</v>
      </c>
      <c r="I105" s="53"/>
      <c r="J105" s="776">
        <f t="shared" si="13"/>
        <v>1.3905346605727491</v>
      </c>
      <c r="K105" s="527">
        <f>'Recycling - Case 1'!Z161</f>
        <v>4514.6270989529849</v>
      </c>
      <c r="L105" s="1209">
        <f t="shared" si="19"/>
        <v>0.1</v>
      </c>
      <c r="M105" s="1209">
        <f t="shared" si="14"/>
        <v>0.9</v>
      </c>
      <c r="N105" s="53">
        <f t="shared" si="20"/>
        <v>0</v>
      </c>
      <c r="O105" s="53">
        <f t="shared" si="20"/>
        <v>0</v>
      </c>
      <c r="P105" s="178">
        <f t="shared" si="16"/>
        <v>0.3611701679162389</v>
      </c>
      <c r="Q105" s="519">
        <f t="shared" si="5"/>
        <v>16.252657556230748</v>
      </c>
      <c r="R105" s="53"/>
      <c r="S105" s="1211">
        <f t="shared" si="6"/>
        <v>0.97515945337384469</v>
      </c>
      <c r="T105" s="1198">
        <f t="shared" si="9"/>
        <v>0.87618300516540526</v>
      </c>
      <c r="U105" s="1199">
        <f t="shared" si="9"/>
        <v>39.428235232443228</v>
      </c>
      <c r="V105" s="1199">
        <f t="shared" si="9"/>
        <v>0</v>
      </c>
      <c r="W105" s="1200">
        <f t="shared" si="9"/>
        <v>2.3656941139465939</v>
      </c>
    </row>
    <row r="106" spans="1:23">
      <c r="A106" s="123">
        <f>'Input data'!A142</f>
        <v>2042</v>
      </c>
      <c r="B106" s="1208">
        <f>'Recycling - Case 1'!AI122</f>
        <v>6437.6604656145792</v>
      </c>
      <c r="C106" s="1209">
        <f t="shared" si="18"/>
        <v>0.1</v>
      </c>
      <c r="D106" s="1209">
        <f t="shared" si="10"/>
        <v>0.9</v>
      </c>
      <c r="E106" s="53">
        <v>0</v>
      </c>
      <c r="F106" s="53">
        <v>0</v>
      </c>
      <c r="G106" s="776">
        <f t="shared" si="11"/>
        <v>0.51501283724916636</v>
      </c>
      <c r="H106" s="519">
        <f t="shared" si="12"/>
        <v>23.175577676212484</v>
      </c>
      <c r="I106" s="53"/>
      <c r="J106" s="776">
        <f t="shared" si="13"/>
        <v>1.3905346605727491</v>
      </c>
      <c r="K106" s="527">
        <f>'Recycling - Case 1'!Z162</f>
        <v>4619.8617671313086</v>
      </c>
      <c r="L106" s="1209">
        <f t="shared" si="19"/>
        <v>0.1</v>
      </c>
      <c r="M106" s="1209">
        <f t="shared" si="14"/>
        <v>0.9</v>
      </c>
      <c r="N106" s="53">
        <f t="shared" si="20"/>
        <v>0</v>
      </c>
      <c r="O106" s="53">
        <f t="shared" si="20"/>
        <v>0</v>
      </c>
      <c r="P106" s="178">
        <f t="shared" si="16"/>
        <v>0.36958894137050474</v>
      </c>
      <c r="Q106" s="519">
        <f t="shared" si="5"/>
        <v>16.631502361672712</v>
      </c>
      <c r="R106" s="53"/>
      <c r="S106" s="1211">
        <f t="shared" si="6"/>
        <v>0.99789014170036261</v>
      </c>
      <c r="T106" s="1198">
        <f t="shared" si="9"/>
        <v>0.88460177861967115</v>
      </c>
      <c r="U106" s="1199">
        <f t="shared" si="9"/>
        <v>39.8070800378852</v>
      </c>
      <c r="V106" s="1199">
        <f t="shared" si="9"/>
        <v>0</v>
      </c>
      <c r="W106" s="1200">
        <f t="shared" si="9"/>
        <v>2.3884248022731116</v>
      </c>
    </row>
    <row r="107" spans="1:23">
      <c r="A107" s="123">
        <f>'Input data'!A143</f>
        <v>2043</v>
      </c>
      <c r="B107" s="1208">
        <f>'Recycling - Case 1'!AI123</f>
        <v>6437.6604656145792</v>
      </c>
      <c r="C107" s="1209">
        <f t="shared" si="18"/>
        <v>0.1</v>
      </c>
      <c r="D107" s="1209">
        <f t="shared" si="10"/>
        <v>0.9</v>
      </c>
      <c r="E107" s="53">
        <v>0</v>
      </c>
      <c r="F107" s="53">
        <v>0</v>
      </c>
      <c r="G107" s="776">
        <f t="shared" si="11"/>
        <v>0.51501283724916636</v>
      </c>
      <c r="H107" s="519">
        <f t="shared" si="12"/>
        <v>23.175577676212484</v>
      </c>
      <c r="I107" s="53"/>
      <c r="J107" s="776">
        <f t="shared" si="13"/>
        <v>1.3905346605727491</v>
      </c>
      <c r="K107" s="527">
        <f>'Recycling - Case 1'!Z163</f>
        <v>4725.2965994162041</v>
      </c>
      <c r="L107" s="1209">
        <f t="shared" si="19"/>
        <v>0.1</v>
      </c>
      <c r="M107" s="1209">
        <f t="shared" si="14"/>
        <v>0.9</v>
      </c>
      <c r="N107" s="53">
        <f t="shared" si="20"/>
        <v>0</v>
      </c>
      <c r="O107" s="53">
        <f t="shared" si="20"/>
        <v>0</v>
      </c>
      <c r="P107" s="178">
        <f t="shared" si="16"/>
        <v>0.37802372795329642</v>
      </c>
      <c r="Q107" s="519">
        <f t="shared" si="5"/>
        <v>17.011067757898335</v>
      </c>
      <c r="R107" s="53"/>
      <c r="S107" s="1211">
        <f t="shared" si="6"/>
        <v>1.0206640654739001</v>
      </c>
      <c r="T107" s="1198">
        <f t="shared" si="9"/>
        <v>0.89303656520246277</v>
      </c>
      <c r="U107" s="1199">
        <f t="shared" si="9"/>
        <v>40.186645434110815</v>
      </c>
      <c r="V107" s="1199">
        <f t="shared" si="9"/>
        <v>0</v>
      </c>
      <c r="W107" s="1200">
        <f t="shared" si="9"/>
        <v>2.4111987260466492</v>
      </c>
    </row>
    <row r="108" spans="1:23">
      <c r="A108" s="123">
        <f>'Input data'!A144</f>
        <v>2044</v>
      </c>
      <c r="B108" s="1208">
        <f>'Recycling - Case 1'!AI124</f>
        <v>6437.6604656145792</v>
      </c>
      <c r="C108" s="1209">
        <f t="shared" si="18"/>
        <v>0.1</v>
      </c>
      <c r="D108" s="1209">
        <f t="shared" si="10"/>
        <v>0.9</v>
      </c>
      <c r="E108" s="53">
        <v>0</v>
      </c>
      <c r="F108" s="53">
        <v>0</v>
      </c>
      <c r="G108" s="776">
        <f t="shared" si="11"/>
        <v>0.51501283724916636</v>
      </c>
      <c r="H108" s="519">
        <f t="shared" si="12"/>
        <v>23.175577676212484</v>
      </c>
      <c r="I108" s="53"/>
      <c r="J108" s="776">
        <f t="shared" si="13"/>
        <v>1.3905346605727491</v>
      </c>
      <c r="K108" s="527">
        <f>'Recycling - Case 1'!Z164</f>
        <v>4833.0377582933197</v>
      </c>
      <c r="L108" s="1209">
        <f t="shared" si="19"/>
        <v>0.1</v>
      </c>
      <c r="M108" s="1209">
        <f t="shared" si="14"/>
        <v>0.9</v>
      </c>
      <c r="N108" s="53">
        <f t="shared" si="20"/>
        <v>0</v>
      </c>
      <c r="O108" s="53">
        <f t="shared" si="20"/>
        <v>0</v>
      </c>
      <c r="P108" s="178">
        <f t="shared" si="16"/>
        <v>0.38664302066346568</v>
      </c>
      <c r="Q108" s="519">
        <f t="shared" si="5"/>
        <v>17.398935929855949</v>
      </c>
      <c r="R108" s="53"/>
      <c r="S108" s="1211">
        <f t="shared" si="6"/>
        <v>1.0439361557913571</v>
      </c>
      <c r="T108" s="1198">
        <f t="shared" si="9"/>
        <v>0.90165585791263203</v>
      </c>
      <c r="U108" s="1199">
        <f t="shared" si="9"/>
        <v>40.574513606068436</v>
      </c>
      <c r="V108" s="1199">
        <f t="shared" si="9"/>
        <v>0</v>
      </c>
      <c r="W108" s="1200">
        <f t="shared" si="9"/>
        <v>2.4344708163641062</v>
      </c>
    </row>
    <row r="109" spans="1:23">
      <c r="A109" s="123">
        <f>'Input data'!A145</f>
        <v>2045</v>
      </c>
      <c r="B109" s="1208">
        <f>'Recycling - Case 1'!AI125</f>
        <v>6437.6604656145792</v>
      </c>
      <c r="C109" s="1209">
        <f t="shared" si="18"/>
        <v>0.1</v>
      </c>
      <c r="D109" s="1209">
        <f t="shared" si="10"/>
        <v>0.9</v>
      </c>
      <c r="E109" s="53">
        <v>0</v>
      </c>
      <c r="F109" s="53">
        <v>0</v>
      </c>
      <c r="G109" s="776">
        <f t="shared" si="11"/>
        <v>0.51501283724916636</v>
      </c>
      <c r="H109" s="519">
        <f t="shared" si="12"/>
        <v>23.175577676212484</v>
      </c>
      <c r="I109" s="53"/>
      <c r="J109" s="776">
        <f t="shared" si="13"/>
        <v>1.3905346605727491</v>
      </c>
      <c r="K109" s="527">
        <f>'Recycling - Case 1'!Z165</f>
        <v>4943.8418730466392</v>
      </c>
      <c r="L109" s="1209">
        <f t="shared" si="19"/>
        <v>0.1</v>
      </c>
      <c r="M109" s="1209">
        <f t="shared" si="14"/>
        <v>0.9</v>
      </c>
      <c r="N109" s="53">
        <f t="shared" si="20"/>
        <v>0</v>
      </c>
      <c r="O109" s="53">
        <f t="shared" si="20"/>
        <v>0</v>
      </c>
      <c r="P109" s="178">
        <f t="shared" si="16"/>
        <v>0.3955073498437312</v>
      </c>
      <c r="Q109" s="519">
        <f t="shared" si="5"/>
        <v>17.7978307429679</v>
      </c>
      <c r="R109" s="53"/>
      <c r="S109" s="1211">
        <f t="shared" si="6"/>
        <v>1.0678698445780739</v>
      </c>
      <c r="T109" s="1198">
        <f t="shared" si="9"/>
        <v>0.91052018709289761</v>
      </c>
      <c r="U109" s="1199">
        <f t="shared" si="9"/>
        <v>40.973408419180387</v>
      </c>
      <c r="V109" s="1199">
        <f t="shared" si="9"/>
        <v>0</v>
      </c>
      <c r="W109" s="1200">
        <f t="shared" si="9"/>
        <v>2.4584045051508232</v>
      </c>
    </row>
    <row r="110" spans="1:23">
      <c r="A110" s="123">
        <f>'Input data'!A146</f>
        <v>2046</v>
      </c>
      <c r="B110" s="1208">
        <f>'Recycling - Case 1'!AI126</f>
        <v>6437.6604656145792</v>
      </c>
      <c r="C110" s="1209">
        <f t="shared" si="18"/>
        <v>0.1</v>
      </c>
      <c r="D110" s="1209">
        <f t="shared" si="10"/>
        <v>0.9</v>
      </c>
      <c r="E110" s="53">
        <v>0</v>
      </c>
      <c r="F110" s="53">
        <v>0</v>
      </c>
      <c r="G110" s="776">
        <f t="shared" si="11"/>
        <v>0.51501283724916636</v>
      </c>
      <c r="H110" s="519">
        <f t="shared" si="12"/>
        <v>23.175577676212484</v>
      </c>
      <c r="I110" s="53"/>
      <c r="J110" s="776">
        <f t="shared" si="13"/>
        <v>1.3905346605727491</v>
      </c>
      <c r="K110" s="527">
        <f>'Recycling - Case 1'!Z166</f>
        <v>5067.2658790898813</v>
      </c>
      <c r="L110" s="1209">
        <f t="shared" si="19"/>
        <v>0.1</v>
      </c>
      <c r="M110" s="1209">
        <f t="shared" si="14"/>
        <v>0.9</v>
      </c>
      <c r="N110" s="53">
        <f t="shared" si="20"/>
        <v>0</v>
      </c>
      <c r="O110" s="53">
        <f t="shared" si="20"/>
        <v>0</v>
      </c>
      <c r="P110" s="178">
        <f t="shared" si="16"/>
        <v>0.40538127032719057</v>
      </c>
      <c r="Q110" s="519">
        <f t="shared" si="5"/>
        <v>18.242157164723572</v>
      </c>
      <c r="R110" s="53"/>
      <c r="S110" s="1211">
        <f t="shared" si="6"/>
        <v>1.0945294298834145</v>
      </c>
      <c r="T110" s="1198">
        <f t="shared" si="9"/>
        <v>0.92039410757635687</v>
      </c>
      <c r="U110" s="1199">
        <f t="shared" si="9"/>
        <v>41.417734840936056</v>
      </c>
      <c r="V110" s="1199">
        <f t="shared" si="9"/>
        <v>0</v>
      </c>
      <c r="W110" s="1200">
        <f t="shared" si="9"/>
        <v>2.4850640904561638</v>
      </c>
    </row>
    <row r="111" spans="1:23">
      <c r="A111" s="123">
        <f>'Input data'!A147</f>
        <v>2047</v>
      </c>
      <c r="B111" s="1208">
        <f>'Recycling - Case 1'!AI127</f>
        <v>6437.6604656145792</v>
      </c>
      <c r="C111" s="1209">
        <f t="shared" si="18"/>
        <v>0.1</v>
      </c>
      <c r="D111" s="1209">
        <f t="shared" si="10"/>
        <v>0.9</v>
      </c>
      <c r="E111" s="53">
        <v>0</v>
      </c>
      <c r="F111" s="53">
        <v>0</v>
      </c>
      <c r="G111" s="776">
        <f t="shared" si="11"/>
        <v>0.51501283724916636</v>
      </c>
      <c r="H111" s="519">
        <f t="shared" si="12"/>
        <v>23.175577676212484</v>
      </c>
      <c r="I111" s="53"/>
      <c r="J111" s="776">
        <f t="shared" si="13"/>
        <v>1.3905346605727491</v>
      </c>
      <c r="K111" s="527">
        <f>'Recycling - Case 1'!Z167</f>
        <v>5163.6864504210689</v>
      </c>
      <c r="L111" s="1209">
        <f t="shared" si="19"/>
        <v>0.1</v>
      </c>
      <c r="M111" s="1209">
        <f t="shared" si="14"/>
        <v>0.9</v>
      </c>
      <c r="N111" s="53">
        <f t="shared" si="20"/>
        <v>0</v>
      </c>
      <c r="O111" s="53">
        <f t="shared" si="20"/>
        <v>0</v>
      </c>
      <c r="P111" s="178">
        <f t="shared" si="16"/>
        <v>0.41309491603368559</v>
      </c>
      <c r="Q111" s="519">
        <f t="shared" si="5"/>
        <v>18.589271221515851</v>
      </c>
      <c r="R111" s="53"/>
      <c r="S111" s="1211">
        <f t="shared" si="6"/>
        <v>1.1153562732909508</v>
      </c>
      <c r="T111" s="1198">
        <f t="shared" si="9"/>
        <v>0.92810775328285189</v>
      </c>
      <c r="U111" s="1199">
        <f t="shared" si="9"/>
        <v>41.764848897728335</v>
      </c>
      <c r="V111" s="1199">
        <f t="shared" si="9"/>
        <v>0</v>
      </c>
      <c r="W111" s="1200">
        <f t="shared" si="9"/>
        <v>2.5058909338637001</v>
      </c>
    </row>
    <row r="112" spans="1:23">
      <c r="A112" s="123">
        <f>'Input data'!A148</f>
        <v>2048</v>
      </c>
      <c r="B112" s="1208">
        <f>'Recycling - Case 1'!AI128</f>
        <v>6437.6604656145792</v>
      </c>
      <c r="C112" s="1209">
        <f t="shared" si="18"/>
        <v>0.1</v>
      </c>
      <c r="D112" s="1209">
        <f t="shared" si="10"/>
        <v>0.9</v>
      </c>
      <c r="E112" s="53">
        <v>0</v>
      </c>
      <c r="F112" s="53">
        <v>0</v>
      </c>
      <c r="G112" s="776">
        <f t="shared" si="11"/>
        <v>0.51501283724916636</v>
      </c>
      <c r="H112" s="519">
        <f t="shared" si="12"/>
        <v>23.175577676212484</v>
      </c>
      <c r="I112" s="53"/>
      <c r="J112" s="776">
        <f t="shared" si="13"/>
        <v>1.3905346605727491</v>
      </c>
      <c r="K112" s="527">
        <f>'Recycling - Case 1'!Z168</f>
        <v>5262.5257223033932</v>
      </c>
      <c r="L112" s="1209">
        <f t="shared" si="19"/>
        <v>0.1</v>
      </c>
      <c r="M112" s="1209">
        <f t="shared" si="14"/>
        <v>0.9</v>
      </c>
      <c r="N112" s="53">
        <f t="shared" si="20"/>
        <v>0</v>
      </c>
      <c r="O112" s="53">
        <f t="shared" si="20"/>
        <v>0</v>
      </c>
      <c r="P112" s="178">
        <f t="shared" si="16"/>
        <v>0.42100205778427152</v>
      </c>
      <c r="Q112" s="519">
        <f t="shared" si="5"/>
        <v>18.945092600292217</v>
      </c>
      <c r="R112" s="53"/>
      <c r="S112" s="1211">
        <f t="shared" si="6"/>
        <v>1.136705556017533</v>
      </c>
      <c r="T112" s="1198">
        <f t="shared" si="9"/>
        <v>0.93601489503343793</v>
      </c>
      <c r="U112" s="1199">
        <f t="shared" si="9"/>
        <v>42.120670276504697</v>
      </c>
      <c r="V112" s="1199">
        <f t="shared" si="9"/>
        <v>0</v>
      </c>
      <c r="W112" s="1200">
        <f t="shared" si="9"/>
        <v>2.5272402165902821</v>
      </c>
    </row>
    <row r="113" spans="1:23">
      <c r="A113" s="123">
        <f>'Input data'!A149</f>
        <v>2049</v>
      </c>
      <c r="B113" s="1208">
        <f>'Recycling - Case 1'!AI129</f>
        <v>6437.6604656145792</v>
      </c>
      <c r="C113" s="1209">
        <f t="shared" si="18"/>
        <v>0.1</v>
      </c>
      <c r="D113" s="1209">
        <f t="shared" si="10"/>
        <v>0.9</v>
      </c>
      <c r="E113" s="53">
        <v>0</v>
      </c>
      <c r="F113" s="53">
        <v>0</v>
      </c>
      <c r="G113" s="776">
        <f t="shared" si="11"/>
        <v>0.51501283724916636</v>
      </c>
      <c r="H113" s="519">
        <f t="shared" si="12"/>
        <v>23.175577676212484</v>
      </c>
      <c r="I113" s="53"/>
      <c r="J113" s="776">
        <f t="shared" si="13"/>
        <v>1.3905346605727491</v>
      </c>
      <c r="K113" s="527">
        <f>'Recycling - Case 1'!Z169</f>
        <v>5358.4864389974309</v>
      </c>
      <c r="L113" s="1209">
        <f t="shared" si="19"/>
        <v>0.1</v>
      </c>
      <c r="M113" s="1209">
        <f t="shared" si="14"/>
        <v>0.9</v>
      </c>
      <c r="N113" s="53">
        <f t="shared" si="20"/>
        <v>0</v>
      </c>
      <c r="O113" s="53">
        <f t="shared" si="20"/>
        <v>0</v>
      </c>
      <c r="P113" s="776">
        <f t="shared" si="8"/>
        <v>0.42867891511979456</v>
      </c>
      <c r="Q113" s="519">
        <f t="shared" si="5"/>
        <v>19.29055118039075</v>
      </c>
      <c r="R113" s="53"/>
      <c r="S113" s="1211">
        <f t="shared" si="6"/>
        <v>1.1574330708234453</v>
      </c>
      <c r="T113" s="1198">
        <f t="shared" si="9"/>
        <v>0.94369175236896097</v>
      </c>
      <c r="U113" s="1199">
        <f t="shared" si="9"/>
        <v>42.466128856603234</v>
      </c>
      <c r="V113" s="1199">
        <f t="shared" si="9"/>
        <v>0</v>
      </c>
      <c r="W113" s="1200">
        <f t="shared" si="9"/>
        <v>2.5479677313961941</v>
      </c>
    </row>
    <row r="114" spans="1:23" ht="15.75" thickBot="1">
      <c r="A114" s="123">
        <f>'Input data'!A150</f>
        <v>2050</v>
      </c>
      <c r="B114" s="1208">
        <f>'Recycling - Case 1'!AI130</f>
        <v>6437.6604656145792</v>
      </c>
      <c r="C114" s="578">
        <f t="shared" si="18"/>
        <v>0.1</v>
      </c>
      <c r="D114" s="578">
        <f t="shared" si="10"/>
        <v>0.9</v>
      </c>
      <c r="E114" s="1212">
        <v>0</v>
      </c>
      <c r="F114" s="1212">
        <v>0</v>
      </c>
      <c r="G114" s="776">
        <f t="shared" si="11"/>
        <v>0.51501283724916636</v>
      </c>
      <c r="H114" s="519">
        <f t="shared" si="12"/>
        <v>23.175577676212484</v>
      </c>
      <c r="I114" s="1212"/>
      <c r="J114" s="1213">
        <f t="shared" si="13"/>
        <v>1.3905346605727491</v>
      </c>
      <c r="K114" s="527">
        <f>'Recycling - Case 1'!Z170</f>
        <v>5457.3324760629976</v>
      </c>
      <c r="L114" s="578">
        <f t="shared" si="19"/>
        <v>0.1</v>
      </c>
      <c r="M114" s="578">
        <f t="shared" si="14"/>
        <v>0.9</v>
      </c>
      <c r="N114" s="1212">
        <f t="shared" si="20"/>
        <v>0</v>
      </c>
      <c r="O114" s="1212">
        <f t="shared" si="20"/>
        <v>0</v>
      </c>
      <c r="P114" s="1213">
        <f t="shared" si="8"/>
        <v>0.43658659808503991</v>
      </c>
      <c r="Q114" s="1144">
        <f t="shared" si="5"/>
        <v>19.646396913826791</v>
      </c>
      <c r="R114" s="1212"/>
      <c r="S114" s="1214">
        <f t="shared" si="6"/>
        <v>1.1787838148296075</v>
      </c>
      <c r="T114" s="1215">
        <f t="shared" si="9"/>
        <v>0.95159943533420632</v>
      </c>
      <c r="U114" s="1216">
        <f t="shared" si="9"/>
        <v>42.821974590039275</v>
      </c>
      <c r="V114" s="1216">
        <f t="shared" si="9"/>
        <v>0</v>
      </c>
      <c r="W114" s="1217">
        <f t="shared" si="9"/>
        <v>2.5693184754023566</v>
      </c>
    </row>
    <row r="115" spans="1:23">
      <c r="A115" s="1202" t="s">
        <v>641</v>
      </c>
      <c r="B115" s="1203"/>
      <c r="C115" s="1218"/>
      <c r="D115" s="1218"/>
      <c r="E115" s="1219"/>
      <c r="F115" s="1219"/>
      <c r="G115" s="1220"/>
      <c r="H115" s="1221"/>
      <c r="I115" s="1222"/>
      <c r="J115" s="1220"/>
      <c r="K115" s="1223"/>
      <c r="L115" s="1218"/>
      <c r="M115" s="1218"/>
      <c r="N115" s="1219"/>
      <c r="O115" s="1219"/>
      <c r="P115" s="1220"/>
      <c r="Q115" s="1221"/>
      <c r="R115" s="1219"/>
      <c r="S115" s="1224"/>
      <c r="T115" s="1194"/>
      <c r="U115" s="1195"/>
      <c r="V115" s="1195"/>
      <c r="W115" s="1196"/>
    </row>
    <row r="116" spans="1:23">
      <c r="A116" s="123">
        <f>'Input data'!A118</f>
        <v>2018</v>
      </c>
      <c r="B116" s="1208">
        <f>'Recycling - Case 1'!AI98</f>
        <v>3707.5235423427162</v>
      </c>
      <c r="C116" s="1209">
        <f>($C$120-$C$80)/($A$120-$A$80)+C80</f>
        <v>6.0000000000000005E-2</v>
      </c>
      <c r="D116" s="1209">
        <f>1-C116</f>
        <v>0.94</v>
      </c>
      <c r="E116" s="53">
        <v>0</v>
      </c>
      <c r="F116" s="53">
        <v>0</v>
      </c>
      <c r="G116" s="776">
        <f>C116*$D$5*B116/1000-E116</f>
        <v>0.1779611300324504</v>
      </c>
      <c r="H116" s="519">
        <f>D116*$D$4*B116/1000-F116</f>
        <v>13.940288519208613</v>
      </c>
      <c r="I116" s="53"/>
      <c r="J116" s="776">
        <f>D116*$D$7*B116/1000</f>
        <v>0.83641731115251661</v>
      </c>
      <c r="K116" s="1210">
        <f>'Recycling - Case 1'!Z178</f>
        <v>1789.9687605419947</v>
      </c>
      <c r="L116" s="1209">
        <f>($L$120-$L$80)/($A$120-$A$80)+L80</f>
        <v>0.1</v>
      </c>
      <c r="M116" s="1209">
        <f>1-L116</f>
        <v>0.9</v>
      </c>
      <c r="N116" s="53">
        <f>N114</f>
        <v>0</v>
      </c>
      <c r="O116" s="53">
        <f>O114</f>
        <v>0</v>
      </c>
      <c r="P116" s="776">
        <f>L116*$D$5*K116/1000-N116</f>
        <v>0.14319750084335958</v>
      </c>
      <c r="Q116" s="519">
        <f t="shared" ref="Q116:Q148" si="21">M116*$D$4*K116/1000-O116</f>
        <v>6.4438875379511806</v>
      </c>
      <c r="R116" s="53"/>
      <c r="S116" s="1211">
        <f t="shared" ref="S116:S148" si="22">M116*$D$7*K116/1000</f>
        <v>0.38663325227707085</v>
      </c>
      <c r="T116" s="1198">
        <f t="shared" ref="T116:W148" si="23">G116+P116</f>
        <v>0.32115863087580998</v>
      </c>
      <c r="U116" s="1199">
        <f t="shared" si="23"/>
        <v>20.384176057159792</v>
      </c>
      <c r="V116" s="1199">
        <f t="shared" si="23"/>
        <v>0</v>
      </c>
      <c r="W116" s="1200">
        <f t="shared" si="23"/>
        <v>1.2230505634295874</v>
      </c>
    </row>
    <row r="117" spans="1:23">
      <c r="A117" s="123">
        <f>'Input data'!A119</f>
        <v>2019</v>
      </c>
      <c r="B117" s="1208">
        <f>'Recycling - Case 1'!AI99</f>
        <v>4010.8720893729233</v>
      </c>
      <c r="C117" s="1209">
        <f>($C$120-$C$80)/($A$120-$A$80)+C116</f>
        <v>7.0000000000000007E-2</v>
      </c>
      <c r="D117" s="1209">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0">
        <f>'Recycling - Case 1'!Z179</f>
        <v>2572.2972467623063</v>
      </c>
      <c r="L117" s="1209">
        <f>($L$120-$L$80)/($A$120-$A$80)+L116</f>
        <v>0.1</v>
      </c>
      <c r="M117" s="1209">
        <f t="shared" ref="M117:M148" si="28">1-L117</f>
        <v>0.9</v>
      </c>
      <c r="N117" s="53">
        <f t="shared" ref="N117:O132" si="29">N115</f>
        <v>0</v>
      </c>
      <c r="O117" s="53">
        <f t="shared" si="29"/>
        <v>0</v>
      </c>
      <c r="P117" s="776">
        <f>L117*$D$5*K117/1000-N117</f>
        <v>0.20578377974098452</v>
      </c>
      <c r="Q117" s="519">
        <f t="shared" si="21"/>
        <v>9.2602700883443028</v>
      </c>
      <c r="R117" s="53"/>
      <c r="S117" s="1211">
        <f t="shared" si="22"/>
        <v>0.55561620530065814</v>
      </c>
      <c r="T117" s="1198">
        <f t="shared" si="23"/>
        <v>0.43039261674586826</v>
      </c>
      <c r="U117" s="1199">
        <f t="shared" si="23"/>
        <v>24.180714260811577</v>
      </c>
      <c r="V117" s="1199">
        <f t="shared" si="23"/>
        <v>0</v>
      </c>
      <c r="W117" s="1200">
        <f t="shared" si="23"/>
        <v>1.4508428556486945</v>
      </c>
    </row>
    <row r="118" spans="1:23">
      <c r="A118" s="123">
        <f>'Input data'!A120</f>
        <v>2020</v>
      </c>
      <c r="B118" s="1208">
        <f>'Recycling - Case 1'!AI100</f>
        <v>4314.2206364031299</v>
      </c>
      <c r="C118" s="1209">
        <f t="shared" ref="C118:C119" si="30">($C$120-$C$80)/($A$120-$A$80)+C117</f>
        <v>0.08</v>
      </c>
      <c r="D118" s="1209">
        <f t="shared" si="24"/>
        <v>0.92</v>
      </c>
      <c r="E118" s="53">
        <v>0</v>
      </c>
      <c r="F118" s="53">
        <v>0</v>
      </c>
      <c r="G118" s="776">
        <f t="shared" si="25"/>
        <v>0.27611012072980029</v>
      </c>
      <c r="H118" s="519">
        <f t="shared" si="26"/>
        <v>15.876331941963519</v>
      </c>
      <c r="I118" s="53"/>
      <c r="J118" s="776">
        <f t="shared" si="27"/>
        <v>0.95257991651781104</v>
      </c>
      <c r="K118" s="1210">
        <f>'Recycling - Case 1'!Z180</f>
        <v>2491.9296118810189</v>
      </c>
      <c r="L118" s="1209">
        <f t="shared" ref="L118:L119" si="31">($L$120-$L$80)/($A$120-$A$80)+L117</f>
        <v>0.1</v>
      </c>
      <c r="M118" s="1209">
        <f t="shared" si="28"/>
        <v>0.9</v>
      </c>
      <c r="N118" s="53">
        <f t="shared" si="29"/>
        <v>0</v>
      </c>
      <c r="O118" s="53">
        <f t="shared" si="29"/>
        <v>0</v>
      </c>
      <c r="P118" s="776">
        <f t="shared" ref="P118:P148" si="32">L118*$D$5*K118/1000-N118</f>
        <v>0.19935436895048156</v>
      </c>
      <c r="Q118" s="519">
        <f t="shared" si="21"/>
        <v>8.9709466027716687</v>
      </c>
      <c r="R118" s="53"/>
      <c r="S118" s="1211">
        <f t="shared" si="22"/>
        <v>0.53825679616630007</v>
      </c>
      <c r="T118" s="1198">
        <f t="shared" si="23"/>
        <v>0.47546448968028188</v>
      </c>
      <c r="U118" s="1199">
        <f t="shared" si="23"/>
        <v>24.84727854473519</v>
      </c>
      <c r="V118" s="1199">
        <f t="shared" si="23"/>
        <v>0</v>
      </c>
      <c r="W118" s="1200">
        <f t="shared" si="23"/>
        <v>1.4908367126841111</v>
      </c>
    </row>
    <row r="119" spans="1:23">
      <c r="A119" s="123">
        <f>'Input data'!A121</f>
        <v>2021</v>
      </c>
      <c r="B119" s="1208">
        <f>'Recycling - Case 1'!AI101</f>
        <v>4617.5691834333375</v>
      </c>
      <c r="C119" s="1209">
        <f t="shared" si="30"/>
        <v>0.09</v>
      </c>
      <c r="D119" s="1209">
        <f t="shared" si="24"/>
        <v>0.91</v>
      </c>
      <c r="E119" s="53">
        <v>0</v>
      </c>
      <c r="F119" s="53">
        <v>0</v>
      </c>
      <c r="G119" s="776">
        <f t="shared" si="25"/>
        <v>0.33246498120720025</v>
      </c>
      <c r="H119" s="519">
        <f t="shared" si="26"/>
        <v>16.807951827697352</v>
      </c>
      <c r="I119" s="53"/>
      <c r="J119" s="776">
        <f t="shared" si="27"/>
        <v>1.008477109661841</v>
      </c>
      <c r="K119" s="1210">
        <f>'Recycling - Case 1'!Z181</f>
        <v>2636.9987654826227</v>
      </c>
      <c r="L119" s="1209">
        <f t="shared" si="31"/>
        <v>0.1</v>
      </c>
      <c r="M119" s="1209">
        <f t="shared" si="28"/>
        <v>0.9</v>
      </c>
      <c r="N119" s="53">
        <f t="shared" si="29"/>
        <v>0</v>
      </c>
      <c r="O119" s="53">
        <f t="shared" si="29"/>
        <v>0</v>
      </c>
      <c r="P119" s="776">
        <f t="shared" si="32"/>
        <v>0.21095990123860986</v>
      </c>
      <c r="Q119" s="519">
        <f t="shared" si="21"/>
        <v>9.4931955557374419</v>
      </c>
      <c r="R119" s="53"/>
      <c r="S119" s="1211">
        <f t="shared" si="22"/>
        <v>0.5695917333442464</v>
      </c>
      <c r="T119" s="1198">
        <f t="shared" si="23"/>
        <v>0.54342488244581011</v>
      </c>
      <c r="U119" s="1199">
        <f t="shared" si="23"/>
        <v>26.301147383434795</v>
      </c>
      <c r="V119" s="1199">
        <f t="shared" si="23"/>
        <v>0</v>
      </c>
      <c r="W119" s="1200">
        <f t="shared" si="23"/>
        <v>1.5780688430060874</v>
      </c>
    </row>
    <row r="120" spans="1:23">
      <c r="A120" s="123">
        <f>'Input data'!A122</f>
        <v>2022</v>
      </c>
      <c r="B120" s="1208">
        <f>'Recycling - Case 1'!AI102</f>
        <v>4920.9177304635441</v>
      </c>
      <c r="C120" s="1209">
        <f>'Recycling - Case 1'!C31</f>
        <v>0.1</v>
      </c>
      <c r="D120" s="1209">
        <f t="shared" si="24"/>
        <v>0.9</v>
      </c>
      <c r="E120" s="53">
        <v>0</v>
      </c>
      <c r="F120" s="53">
        <v>0</v>
      </c>
      <c r="G120" s="776">
        <f t="shared" si="25"/>
        <v>0.39367341843708364</v>
      </c>
      <c r="H120" s="519">
        <f t="shared" si="26"/>
        <v>17.715303829668759</v>
      </c>
      <c r="I120" s="53"/>
      <c r="J120" s="776">
        <f t="shared" si="27"/>
        <v>1.0629182297801256</v>
      </c>
      <c r="K120" s="1210">
        <f>'Recycling - Case 1'!Z182</f>
        <v>2767.3809376331187</v>
      </c>
      <c r="L120" s="1209">
        <f>'Recycling - Case 1'!C31</f>
        <v>0.1</v>
      </c>
      <c r="M120" s="1209">
        <f t="shared" si="28"/>
        <v>0.9</v>
      </c>
      <c r="N120" s="53">
        <f t="shared" si="29"/>
        <v>0</v>
      </c>
      <c r="O120" s="53">
        <f t="shared" si="29"/>
        <v>0</v>
      </c>
      <c r="P120" s="776">
        <f t="shared" si="32"/>
        <v>0.22139047501064954</v>
      </c>
      <c r="Q120" s="519">
        <f t="shared" si="21"/>
        <v>9.9625713754792269</v>
      </c>
      <c r="R120" s="53"/>
      <c r="S120" s="1211">
        <f t="shared" si="22"/>
        <v>0.59775428252875362</v>
      </c>
      <c r="T120" s="1198">
        <f t="shared" si="23"/>
        <v>0.61506389344773316</v>
      </c>
      <c r="U120" s="1199">
        <f t="shared" si="23"/>
        <v>27.677875205147984</v>
      </c>
      <c r="V120" s="1199">
        <f t="shared" si="23"/>
        <v>0</v>
      </c>
      <c r="W120" s="1200">
        <f t="shared" si="23"/>
        <v>1.6606725123088792</v>
      </c>
    </row>
    <row r="121" spans="1:23">
      <c r="A121" s="123">
        <f>'Input data'!A123</f>
        <v>2023</v>
      </c>
      <c r="B121" s="1208">
        <f>'Recycling - Case 1'!AI103</f>
        <v>5224.2662774937517</v>
      </c>
      <c r="C121" s="1209">
        <f>C120</f>
        <v>0.1</v>
      </c>
      <c r="D121" s="1209">
        <f t="shared" si="24"/>
        <v>0.9</v>
      </c>
      <c r="E121" s="53">
        <v>0</v>
      </c>
      <c r="F121" s="53">
        <v>0</v>
      </c>
      <c r="G121" s="776">
        <f t="shared" si="25"/>
        <v>0.41794130219950021</v>
      </c>
      <c r="H121" s="519">
        <f t="shared" si="26"/>
        <v>18.807358598977505</v>
      </c>
      <c r="I121" s="53"/>
      <c r="J121" s="776">
        <f t="shared" si="27"/>
        <v>1.1284415159386503</v>
      </c>
      <c r="K121" s="1210">
        <f>'Recycling - Case 1'!Z183</f>
        <v>2893.0118150741405</v>
      </c>
      <c r="L121" s="1209">
        <f>L120</f>
        <v>0.1</v>
      </c>
      <c r="M121" s="1209">
        <f t="shared" si="28"/>
        <v>0.9</v>
      </c>
      <c r="N121" s="53">
        <f t="shared" si="29"/>
        <v>0</v>
      </c>
      <c r="O121" s="53">
        <f t="shared" si="29"/>
        <v>0</v>
      </c>
      <c r="P121" s="776">
        <f t="shared" si="32"/>
        <v>0.23144094520593128</v>
      </c>
      <c r="Q121" s="519">
        <f t="shared" si="21"/>
        <v>10.414842534266905</v>
      </c>
      <c r="R121" s="53"/>
      <c r="S121" s="1211">
        <f t="shared" si="22"/>
        <v>0.6248905520560144</v>
      </c>
      <c r="T121" s="1198">
        <f t="shared" si="23"/>
        <v>0.64938224740543149</v>
      </c>
      <c r="U121" s="1199">
        <f t="shared" si="23"/>
        <v>29.222201133244411</v>
      </c>
      <c r="V121" s="1199">
        <f t="shared" si="23"/>
        <v>0</v>
      </c>
      <c r="W121" s="1200">
        <f t="shared" si="23"/>
        <v>1.7533320679946647</v>
      </c>
    </row>
    <row r="122" spans="1:23">
      <c r="A122" s="123">
        <f>'Input data'!A124</f>
        <v>2024</v>
      </c>
      <c r="B122" s="1208">
        <f>'Recycling - Case 1'!AI104</f>
        <v>5527.6148245239583</v>
      </c>
      <c r="C122" s="1209">
        <f t="shared" ref="C122:C148" si="33">C121</f>
        <v>0.1</v>
      </c>
      <c r="D122" s="1209">
        <f t="shared" si="24"/>
        <v>0.9</v>
      </c>
      <c r="E122" s="53">
        <v>0</v>
      </c>
      <c r="F122" s="53">
        <v>0</v>
      </c>
      <c r="G122" s="776">
        <f t="shared" si="25"/>
        <v>0.44220918596191677</v>
      </c>
      <c r="H122" s="519">
        <f t="shared" si="26"/>
        <v>19.89941336828625</v>
      </c>
      <c r="I122" s="53"/>
      <c r="J122" s="776">
        <f t="shared" si="27"/>
        <v>1.1939648020971749</v>
      </c>
      <c r="K122" s="1210">
        <f>'Recycling - Case 1'!Z184</f>
        <v>3022.3880140768551</v>
      </c>
      <c r="L122" s="1209">
        <f t="shared" ref="L122:L148" si="34">L121</f>
        <v>0.1</v>
      </c>
      <c r="M122" s="1209">
        <f t="shared" si="28"/>
        <v>0.9</v>
      </c>
      <c r="N122" s="53">
        <f t="shared" si="29"/>
        <v>0</v>
      </c>
      <c r="O122" s="53">
        <f t="shared" si="29"/>
        <v>0</v>
      </c>
      <c r="P122" s="776">
        <f t="shared" si="32"/>
        <v>0.24179104112614846</v>
      </c>
      <c r="Q122" s="519">
        <f t="shared" si="21"/>
        <v>10.880596850676678</v>
      </c>
      <c r="R122" s="53"/>
      <c r="S122" s="1211">
        <f t="shared" si="22"/>
        <v>0.65283581104060062</v>
      </c>
      <c r="T122" s="1198">
        <f t="shared" si="23"/>
        <v>0.68400022708806518</v>
      </c>
      <c r="U122" s="1199">
        <f t="shared" si="23"/>
        <v>30.780010218962929</v>
      </c>
      <c r="V122" s="1199">
        <f t="shared" si="23"/>
        <v>0</v>
      </c>
      <c r="W122" s="1200">
        <f t="shared" si="23"/>
        <v>1.8468006131377757</v>
      </c>
    </row>
    <row r="123" spans="1:23">
      <c r="A123" s="123">
        <f>'Input data'!A125</f>
        <v>2025</v>
      </c>
      <c r="B123" s="1208">
        <f>'Recycling - Case 1'!AI105</f>
        <v>5830.9633715541659</v>
      </c>
      <c r="C123" s="1209">
        <f t="shared" si="33"/>
        <v>0.1</v>
      </c>
      <c r="D123" s="1209">
        <f t="shared" si="24"/>
        <v>0.9</v>
      </c>
      <c r="E123" s="53">
        <v>0</v>
      </c>
      <c r="F123" s="53">
        <v>0</v>
      </c>
      <c r="G123" s="776">
        <f t="shared" si="25"/>
        <v>0.46647706972433339</v>
      </c>
      <c r="H123" s="519">
        <f t="shared" si="26"/>
        <v>20.991468137595</v>
      </c>
      <c r="I123" s="53"/>
      <c r="J123" s="776">
        <f t="shared" si="27"/>
        <v>1.2594880882556998</v>
      </c>
      <c r="K123" s="1210">
        <f>'Recycling - Case 1'!Z185</f>
        <v>3145.2559491706606</v>
      </c>
      <c r="L123" s="1209">
        <f t="shared" si="34"/>
        <v>0.1</v>
      </c>
      <c r="M123" s="1209">
        <f t="shared" si="28"/>
        <v>0.9</v>
      </c>
      <c r="N123" s="53">
        <f t="shared" si="29"/>
        <v>0</v>
      </c>
      <c r="O123" s="53">
        <f t="shared" si="29"/>
        <v>0</v>
      </c>
      <c r="P123" s="776">
        <f t="shared" si="32"/>
        <v>0.25162047593365289</v>
      </c>
      <c r="Q123" s="519">
        <f t="shared" si="21"/>
        <v>11.322921417014379</v>
      </c>
      <c r="R123" s="53"/>
      <c r="S123" s="1211">
        <f t="shared" si="22"/>
        <v>0.67937528502086275</v>
      </c>
      <c r="T123" s="1198">
        <f t="shared" si="23"/>
        <v>0.71809754565798634</v>
      </c>
      <c r="U123" s="1199">
        <f t="shared" si="23"/>
        <v>32.314389554609377</v>
      </c>
      <c r="V123" s="1199">
        <f t="shared" si="23"/>
        <v>0</v>
      </c>
      <c r="W123" s="1200">
        <f t="shared" si="23"/>
        <v>1.9388633732765626</v>
      </c>
    </row>
    <row r="124" spans="1:23">
      <c r="A124" s="123">
        <f>'Input data'!A126</f>
        <v>2026</v>
      </c>
      <c r="B124" s="1208">
        <f>'Recycling - Case 1'!AI106</f>
        <v>6134.3119185843725</v>
      </c>
      <c r="C124" s="1209">
        <f t="shared" si="33"/>
        <v>0.1</v>
      </c>
      <c r="D124" s="1209">
        <f t="shared" si="24"/>
        <v>0.9</v>
      </c>
      <c r="E124" s="53">
        <v>0</v>
      </c>
      <c r="F124" s="53">
        <v>0</v>
      </c>
      <c r="G124" s="776">
        <f t="shared" si="25"/>
        <v>0.4907449534867499</v>
      </c>
      <c r="H124" s="519">
        <f t="shared" si="26"/>
        <v>22.083522906903742</v>
      </c>
      <c r="I124" s="53"/>
      <c r="J124" s="776">
        <f t="shared" si="27"/>
        <v>1.3250113744142245</v>
      </c>
      <c r="K124" s="1210">
        <f>'Recycling - Case 1'!Z186</f>
        <v>3264.2641089478384</v>
      </c>
      <c r="L124" s="1209">
        <f t="shared" si="34"/>
        <v>0.1</v>
      </c>
      <c r="M124" s="1209">
        <f t="shared" si="28"/>
        <v>0.9</v>
      </c>
      <c r="N124" s="53">
        <f t="shared" si="29"/>
        <v>0</v>
      </c>
      <c r="O124" s="53">
        <f t="shared" si="29"/>
        <v>0</v>
      </c>
      <c r="P124" s="776">
        <f t="shared" si="32"/>
        <v>0.26114112871582712</v>
      </c>
      <c r="Q124" s="519">
        <f t="shared" si="21"/>
        <v>11.75135079221222</v>
      </c>
      <c r="R124" s="53"/>
      <c r="S124" s="1211">
        <f t="shared" si="22"/>
        <v>0.70508104753273315</v>
      </c>
      <c r="T124" s="1198">
        <f t="shared" si="23"/>
        <v>0.75188608220257702</v>
      </c>
      <c r="U124" s="1199">
        <f t="shared" si="23"/>
        <v>33.83487369911596</v>
      </c>
      <c r="V124" s="1199">
        <f t="shared" si="23"/>
        <v>0</v>
      </c>
      <c r="W124" s="1200">
        <f t="shared" si="23"/>
        <v>2.0300924219469576</v>
      </c>
    </row>
    <row r="125" spans="1:23">
      <c r="A125" s="123">
        <f>'Input data'!A127</f>
        <v>2027</v>
      </c>
      <c r="B125" s="1208">
        <f>'Recycling - Case 1'!AI107</f>
        <v>6437.6604656145792</v>
      </c>
      <c r="C125" s="1209">
        <f t="shared" si="33"/>
        <v>0.1</v>
      </c>
      <c r="D125" s="1209">
        <f t="shared" si="24"/>
        <v>0.9</v>
      </c>
      <c r="E125" s="53">
        <v>0</v>
      </c>
      <c r="F125" s="53">
        <v>0</v>
      </c>
      <c r="G125" s="776">
        <f t="shared" si="25"/>
        <v>0.51501283724916636</v>
      </c>
      <c r="H125" s="519">
        <f t="shared" si="26"/>
        <v>23.175577676212484</v>
      </c>
      <c r="I125" s="53"/>
      <c r="J125" s="776">
        <f t="shared" si="27"/>
        <v>1.3905346605727491</v>
      </c>
      <c r="K125" s="1210">
        <f>'Recycling - Case 1'!Z187</f>
        <v>3379.7386694672964</v>
      </c>
      <c r="L125" s="1209">
        <f t="shared" si="34"/>
        <v>0.1</v>
      </c>
      <c r="M125" s="1209">
        <f t="shared" si="28"/>
        <v>0.9</v>
      </c>
      <c r="N125" s="53">
        <f t="shared" si="29"/>
        <v>0</v>
      </c>
      <c r="O125" s="53">
        <f t="shared" si="29"/>
        <v>0</v>
      </c>
      <c r="P125" s="776">
        <f t="shared" si="32"/>
        <v>0.27037909355738377</v>
      </c>
      <c r="Q125" s="519">
        <f t="shared" si="21"/>
        <v>12.167059210082266</v>
      </c>
      <c r="R125" s="53"/>
      <c r="S125" s="1211">
        <f t="shared" si="22"/>
        <v>0.73002355260493612</v>
      </c>
      <c r="T125" s="1198">
        <f t="shared" si="23"/>
        <v>0.78539193080655012</v>
      </c>
      <c r="U125" s="1199">
        <f t="shared" si="23"/>
        <v>35.342636886294748</v>
      </c>
      <c r="V125" s="1199">
        <f t="shared" si="23"/>
        <v>0</v>
      </c>
      <c r="W125" s="1200">
        <f t="shared" si="23"/>
        <v>2.1205582131776852</v>
      </c>
    </row>
    <row r="126" spans="1:23">
      <c r="A126" s="123">
        <f>'Input data'!A128</f>
        <v>2028</v>
      </c>
      <c r="B126" s="1208">
        <f>'Recycling - Case 1'!AI108</f>
        <v>6437.6604656145792</v>
      </c>
      <c r="C126" s="1209">
        <f t="shared" si="33"/>
        <v>0.1</v>
      </c>
      <c r="D126" s="1209">
        <f t="shared" si="24"/>
        <v>0.9</v>
      </c>
      <c r="E126" s="53">
        <v>0</v>
      </c>
      <c r="F126" s="53">
        <v>0</v>
      </c>
      <c r="G126" s="776">
        <f t="shared" si="25"/>
        <v>0.51501283724916636</v>
      </c>
      <c r="H126" s="519">
        <f t="shared" si="26"/>
        <v>23.175577676212484</v>
      </c>
      <c r="I126" s="53"/>
      <c r="J126" s="776">
        <f t="shared" si="27"/>
        <v>1.3905346605727491</v>
      </c>
      <c r="K126" s="1210">
        <f>'Recycling - Case 1'!Z188</f>
        <v>3426.3883095687434</v>
      </c>
      <c r="L126" s="1209">
        <f t="shared" si="34"/>
        <v>0.1</v>
      </c>
      <c r="M126" s="1209">
        <f t="shared" si="28"/>
        <v>0.9</v>
      </c>
      <c r="N126" s="53">
        <f t="shared" si="29"/>
        <v>0</v>
      </c>
      <c r="O126" s="53">
        <f t="shared" si="29"/>
        <v>0</v>
      </c>
      <c r="P126" s="776">
        <f t="shared" si="32"/>
        <v>0.27411106476549951</v>
      </c>
      <c r="Q126" s="519">
        <f t="shared" si="21"/>
        <v>12.334997914447477</v>
      </c>
      <c r="R126" s="53"/>
      <c r="S126" s="1211">
        <f t="shared" si="22"/>
        <v>0.74009987486684858</v>
      </c>
      <c r="T126" s="1198">
        <f t="shared" si="23"/>
        <v>0.78912390201466587</v>
      </c>
      <c r="U126" s="1199">
        <f t="shared" si="23"/>
        <v>35.510575590659961</v>
      </c>
      <c r="V126" s="1199">
        <f t="shared" si="23"/>
        <v>0</v>
      </c>
      <c r="W126" s="1200">
        <f t="shared" si="23"/>
        <v>2.1306345354395977</v>
      </c>
    </row>
    <row r="127" spans="1:23">
      <c r="A127" s="123">
        <f>'Input data'!A129</f>
        <v>2029</v>
      </c>
      <c r="B127" s="1208">
        <f>'Recycling - Case 1'!AI109</f>
        <v>6437.6604656145792</v>
      </c>
      <c r="C127" s="1209">
        <f t="shared" si="33"/>
        <v>0.1</v>
      </c>
      <c r="D127" s="1209">
        <f t="shared" si="24"/>
        <v>0.9</v>
      </c>
      <c r="E127" s="53">
        <v>0</v>
      </c>
      <c r="F127" s="53">
        <v>0</v>
      </c>
      <c r="G127" s="776">
        <f t="shared" si="25"/>
        <v>0.51501283724916636</v>
      </c>
      <c r="H127" s="519">
        <f t="shared" si="26"/>
        <v>23.175577676212484</v>
      </c>
      <c r="I127" s="53"/>
      <c r="J127" s="776">
        <f t="shared" si="27"/>
        <v>1.3905346605727491</v>
      </c>
      <c r="K127" s="1210">
        <f>'Recycling - Case 1'!Z189</f>
        <v>3485.8660805942818</v>
      </c>
      <c r="L127" s="1209">
        <f t="shared" si="34"/>
        <v>0.1</v>
      </c>
      <c r="M127" s="1209">
        <f t="shared" si="28"/>
        <v>0.9</v>
      </c>
      <c r="N127" s="53">
        <f t="shared" si="29"/>
        <v>0</v>
      </c>
      <c r="O127" s="53">
        <f t="shared" si="29"/>
        <v>0</v>
      </c>
      <c r="P127" s="776">
        <f t="shared" si="32"/>
        <v>0.27886928644754261</v>
      </c>
      <c r="Q127" s="519">
        <f t="shared" si="21"/>
        <v>12.549117890139414</v>
      </c>
      <c r="R127" s="53"/>
      <c r="S127" s="1211">
        <f t="shared" si="22"/>
        <v>0.75294707340836486</v>
      </c>
      <c r="T127" s="1198">
        <f t="shared" si="23"/>
        <v>0.79388212369670896</v>
      </c>
      <c r="U127" s="1199">
        <f t="shared" si="23"/>
        <v>35.724695566351897</v>
      </c>
      <c r="V127" s="1199">
        <f t="shared" si="23"/>
        <v>0</v>
      </c>
      <c r="W127" s="1200">
        <f t="shared" si="23"/>
        <v>2.1434817339811141</v>
      </c>
    </row>
    <row r="128" spans="1:23">
      <c r="A128" s="123">
        <f>'Input data'!A130</f>
        <v>2030</v>
      </c>
      <c r="B128" s="1208">
        <f>'Recycling - Case 1'!AI110</f>
        <v>6437.6604656145792</v>
      </c>
      <c r="C128" s="1209">
        <f t="shared" si="33"/>
        <v>0.1</v>
      </c>
      <c r="D128" s="1209">
        <f t="shared" si="24"/>
        <v>0.9</v>
      </c>
      <c r="E128" s="53">
        <v>0</v>
      </c>
      <c r="F128" s="53">
        <v>0</v>
      </c>
      <c r="G128" s="776">
        <f t="shared" si="25"/>
        <v>0.51501283724916636</v>
      </c>
      <c r="H128" s="519">
        <f t="shared" si="26"/>
        <v>23.175577676212484</v>
      </c>
      <c r="I128" s="53"/>
      <c r="J128" s="776">
        <f t="shared" si="27"/>
        <v>1.3905346605727491</v>
      </c>
      <c r="K128" s="1210">
        <f>'Recycling - Case 1'!Z190</f>
        <v>3538.217660793739</v>
      </c>
      <c r="L128" s="1209">
        <f t="shared" si="34"/>
        <v>0.1</v>
      </c>
      <c r="M128" s="1209">
        <f t="shared" si="28"/>
        <v>0.9</v>
      </c>
      <c r="N128" s="53">
        <f t="shared" si="29"/>
        <v>0</v>
      </c>
      <c r="O128" s="53">
        <f t="shared" si="29"/>
        <v>0</v>
      </c>
      <c r="P128" s="776">
        <f t="shared" si="32"/>
        <v>0.28305741286349917</v>
      </c>
      <c r="Q128" s="519">
        <f t="shared" si="21"/>
        <v>12.737583578857461</v>
      </c>
      <c r="R128" s="53"/>
      <c r="S128" s="1211">
        <f t="shared" si="22"/>
        <v>0.76425501473144763</v>
      </c>
      <c r="T128" s="1198">
        <f t="shared" si="23"/>
        <v>0.79807025011266552</v>
      </c>
      <c r="U128" s="1199">
        <f t="shared" si="23"/>
        <v>35.913161255069944</v>
      </c>
      <c r="V128" s="1199">
        <f t="shared" si="23"/>
        <v>0</v>
      </c>
      <c r="W128" s="1200">
        <f t="shared" si="23"/>
        <v>2.1547896753041966</v>
      </c>
    </row>
    <row r="129" spans="1:23">
      <c r="A129" s="123">
        <f>'Input data'!A131</f>
        <v>2031</v>
      </c>
      <c r="B129" s="1208">
        <f>'Recycling - Case 1'!AI111</f>
        <v>6437.6604656145792</v>
      </c>
      <c r="C129" s="1209">
        <f t="shared" si="33"/>
        <v>0.1</v>
      </c>
      <c r="D129" s="1209">
        <f t="shared" si="24"/>
        <v>0.9</v>
      </c>
      <c r="E129" s="53">
        <v>0</v>
      </c>
      <c r="F129" s="53">
        <v>0</v>
      </c>
      <c r="G129" s="776">
        <f t="shared" si="25"/>
        <v>0.51501283724916636</v>
      </c>
      <c r="H129" s="519">
        <f t="shared" si="26"/>
        <v>23.175577676212484</v>
      </c>
      <c r="I129" s="53"/>
      <c r="J129" s="776">
        <f t="shared" si="27"/>
        <v>1.3905346605727491</v>
      </c>
      <c r="K129" s="1210">
        <f>'Recycling - Case 1'!Z191</f>
        <v>3504.1852978367515</v>
      </c>
      <c r="L129" s="1209">
        <f t="shared" si="34"/>
        <v>0.1</v>
      </c>
      <c r="M129" s="1209">
        <f t="shared" si="28"/>
        <v>0.9</v>
      </c>
      <c r="N129" s="53">
        <f t="shared" si="29"/>
        <v>0</v>
      </c>
      <c r="O129" s="53">
        <f t="shared" si="29"/>
        <v>0</v>
      </c>
      <c r="P129" s="776">
        <f t="shared" si="32"/>
        <v>0.28033482382694019</v>
      </c>
      <c r="Q129" s="519">
        <f t="shared" si="21"/>
        <v>12.615067072212305</v>
      </c>
      <c r="R129" s="53"/>
      <c r="S129" s="1211">
        <f t="shared" si="22"/>
        <v>0.75690402433273829</v>
      </c>
      <c r="T129" s="1198">
        <f t="shared" si="23"/>
        <v>0.79534766107610655</v>
      </c>
      <c r="U129" s="1199">
        <f t="shared" si="23"/>
        <v>35.790644748424789</v>
      </c>
      <c r="V129" s="1199">
        <f t="shared" si="23"/>
        <v>0</v>
      </c>
      <c r="W129" s="1200">
        <f t="shared" si="23"/>
        <v>2.1474386849054872</v>
      </c>
    </row>
    <row r="130" spans="1:23">
      <c r="A130" s="123">
        <f>'Input data'!A132</f>
        <v>2032</v>
      </c>
      <c r="B130" s="1208">
        <f>'Recycling - Case 1'!AI112</f>
        <v>6437.6604656145792</v>
      </c>
      <c r="C130" s="1209">
        <f t="shared" si="33"/>
        <v>0.1</v>
      </c>
      <c r="D130" s="1209">
        <f t="shared" si="24"/>
        <v>0.9</v>
      </c>
      <c r="E130" s="53">
        <v>0</v>
      </c>
      <c r="F130" s="53">
        <v>0</v>
      </c>
      <c r="G130" s="776">
        <f t="shared" si="25"/>
        <v>0.51501283724916636</v>
      </c>
      <c r="H130" s="519">
        <f t="shared" si="26"/>
        <v>23.175577676212484</v>
      </c>
      <c r="I130" s="53"/>
      <c r="J130" s="776">
        <f t="shared" si="27"/>
        <v>1.3905346605727491</v>
      </c>
      <c r="K130" s="1210">
        <f>'Recycling - Case 1'!Z192</f>
        <v>3598.6028123457536</v>
      </c>
      <c r="L130" s="1209">
        <f t="shared" si="34"/>
        <v>0.1</v>
      </c>
      <c r="M130" s="1209">
        <f t="shared" si="28"/>
        <v>0.9</v>
      </c>
      <c r="N130" s="53">
        <f t="shared" si="29"/>
        <v>0</v>
      </c>
      <c r="O130" s="53">
        <f t="shared" si="29"/>
        <v>0</v>
      </c>
      <c r="P130" s="776">
        <f t="shared" si="32"/>
        <v>0.28788822498766037</v>
      </c>
      <c r="Q130" s="519">
        <f t="shared" si="21"/>
        <v>12.954970124444714</v>
      </c>
      <c r="R130" s="53"/>
      <c r="S130" s="1211">
        <f t="shared" si="22"/>
        <v>0.77729820746668277</v>
      </c>
      <c r="T130" s="1198">
        <f t="shared" si="23"/>
        <v>0.80290106223682667</v>
      </c>
      <c r="U130" s="1199">
        <f t="shared" si="23"/>
        <v>36.130547800657197</v>
      </c>
      <c r="V130" s="1199">
        <f t="shared" si="23"/>
        <v>0</v>
      </c>
      <c r="W130" s="1200">
        <f t="shared" si="23"/>
        <v>2.1678328680394321</v>
      </c>
    </row>
    <row r="131" spans="1:23">
      <c r="A131" s="123">
        <f>'Input data'!A133</f>
        <v>2033</v>
      </c>
      <c r="B131" s="1208">
        <f>'Recycling - Case 1'!AI113</f>
        <v>6437.6604656145792</v>
      </c>
      <c r="C131" s="1209">
        <f t="shared" si="33"/>
        <v>0.1</v>
      </c>
      <c r="D131" s="1209">
        <f t="shared" si="24"/>
        <v>0.9</v>
      </c>
      <c r="E131" s="53">
        <v>0</v>
      </c>
      <c r="F131" s="53">
        <v>0</v>
      </c>
      <c r="G131" s="776">
        <f t="shared" si="25"/>
        <v>0.51501283724916636</v>
      </c>
      <c r="H131" s="519">
        <f t="shared" si="26"/>
        <v>23.175577676212484</v>
      </c>
      <c r="I131" s="53"/>
      <c r="J131" s="776">
        <f t="shared" si="27"/>
        <v>1.3905346605727491</v>
      </c>
      <c r="K131" s="1210">
        <f>'Recycling - Case 1'!Z193</f>
        <v>3689.9033028722483</v>
      </c>
      <c r="L131" s="1209">
        <f t="shared" si="34"/>
        <v>0.1</v>
      </c>
      <c r="M131" s="1209">
        <f t="shared" si="28"/>
        <v>0.9</v>
      </c>
      <c r="N131" s="53">
        <f t="shared" si="29"/>
        <v>0</v>
      </c>
      <c r="O131" s="53">
        <f t="shared" si="29"/>
        <v>0</v>
      </c>
      <c r="P131" s="776">
        <f t="shared" si="32"/>
        <v>0.29519226422977995</v>
      </c>
      <c r="Q131" s="519">
        <f t="shared" si="21"/>
        <v>13.283651890340094</v>
      </c>
      <c r="R131" s="53"/>
      <c r="S131" s="1211">
        <f t="shared" si="22"/>
        <v>0.79701911342040554</v>
      </c>
      <c r="T131" s="1198">
        <f t="shared" si="23"/>
        <v>0.81020510147894631</v>
      </c>
      <c r="U131" s="1199">
        <f t="shared" si="23"/>
        <v>36.45922956655258</v>
      </c>
      <c r="V131" s="1199">
        <f t="shared" si="23"/>
        <v>0</v>
      </c>
      <c r="W131" s="1200">
        <f t="shared" si="23"/>
        <v>2.1875537739931548</v>
      </c>
    </row>
    <row r="132" spans="1:23">
      <c r="A132" s="123">
        <f>'Input data'!A134</f>
        <v>2034</v>
      </c>
      <c r="B132" s="1208">
        <f>'Recycling - Case 1'!AI114</f>
        <v>6437.6604656145792</v>
      </c>
      <c r="C132" s="1209">
        <f t="shared" si="33"/>
        <v>0.1</v>
      </c>
      <c r="D132" s="1209">
        <f t="shared" si="24"/>
        <v>0.9</v>
      </c>
      <c r="E132" s="53">
        <v>0</v>
      </c>
      <c r="F132" s="53">
        <v>0</v>
      </c>
      <c r="G132" s="776">
        <f t="shared" si="25"/>
        <v>0.51501283724916636</v>
      </c>
      <c r="H132" s="519">
        <f t="shared" si="26"/>
        <v>23.175577676212484</v>
      </c>
      <c r="I132" s="53"/>
      <c r="J132" s="776">
        <f t="shared" si="27"/>
        <v>1.3905346605727491</v>
      </c>
      <c r="K132" s="1210">
        <f>'Recycling - Case 1'!Z194</f>
        <v>3802.1747903841533</v>
      </c>
      <c r="L132" s="1209">
        <f t="shared" si="34"/>
        <v>0.1</v>
      </c>
      <c r="M132" s="1209">
        <f t="shared" si="28"/>
        <v>0.9</v>
      </c>
      <c r="N132" s="53">
        <f t="shared" si="29"/>
        <v>0</v>
      </c>
      <c r="O132" s="53">
        <f t="shared" si="29"/>
        <v>0</v>
      </c>
      <c r="P132" s="776">
        <f t="shared" si="32"/>
        <v>0.30417398323073236</v>
      </c>
      <c r="Q132" s="519">
        <f t="shared" si="21"/>
        <v>13.687829245382952</v>
      </c>
      <c r="R132" s="53"/>
      <c r="S132" s="1211">
        <f t="shared" si="22"/>
        <v>0.82126975472297714</v>
      </c>
      <c r="T132" s="1198">
        <f t="shared" si="23"/>
        <v>0.81918682047989866</v>
      </c>
      <c r="U132" s="1199">
        <f t="shared" si="23"/>
        <v>36.863406921595434</v>
      </c>
      <c r="V132" s="1199">
        <f t="shared" si="23"/>
        <v>0</v>
      </c>
      <c r="W132" s="1200">
        <f t="shared" si="23"/>
        <v>2.2118044152957261</v>
      </c>
    </row>
    <row r="133" spans="1:23">
      <c r="A133" s="123">
        <f>'Input data'!A135</f>
        <v>2035</v>
      </c>
      <c r="B133" s="1208">
        <f>'Recycling - Case 1'!AI115</f>
        <v>6437.6604656145792</v>
      </c>
      <c r="C133" s="1209">
        <f t="shared" si="33"/>
        <v>0.1</v>
      </c>
      <c r="D133" s="1209">
        <f t="shared" si="24"/>
        <v>0.9</v>
      </c>
      <c r="E133" s="53">
        <v>0</v>
      </c>
      <c r="F133" s="53">
        <v>0</v>
      </c>
      <c r="G133" s="776">
        <f t="shared" si="25"/>
        <v>0.51501283724916636</v>
      </c>
      <c r="H133" s="519">
        <f t="shared" si="26"/>
        <v>23.175577676212484</v>
      </c>
      <c r="I133" s="53"/>
      <c r="J133" s="776">
        <f t="shared" si="27"/>
        <v>1.3905346605727491</v>
      </c>
      <c r="K133" s="1210">
        <f>'Recycling - Case 1'!Z195</f>
        <v>3897.4519949695709</v>
      </c>
      <c r="L133" s="1209">
        <f t="shared" si="34"/>
        <v>0.1</v>
      </c>
      <c r="M133" s="1209">
        <f t="shared" si="28"/>
        <v>0.9</v>
      </c>
      <c r="N133" s="53">
        <f t="shared" ref="N133:O148" si="35">N131</f>
        <v>0</v>
      </c>
      <c r="O133" s="53">
        <f t="shared" si="35"/>
        <v>0</v>
      </c>
      <c r="P133" s="776">
        <f t="shared" si="32"/>
        <v>0.31179615959756574</v>
      </c>
      <c r="Q133" s="519">
        <f t="shared" si="21"/>
        <v>14.030827181890455</v>
      </c>
      <c r="R133" s="53"/>
      <c r="S133" s="1211">
        <f t="shared" si="22"/>
        <v>0.84184963091342724</v>
      </c>
      <c r="T133" s="1198">
        <f t="shared" si="23"/>
        <v>0.82680899684673204</v>
      </c>
      <c r="U133" s="1199">
        <f t="shared" si="23"/>
        <v>37.206404858102943</v>
      </c>
      <c r="V133" s="1199">
        <f t="shared" si="23"/>
        <v>0</v>
      </c>
      <c r="W133" s="1200">
        <f t="shared" si="23"/>
        <v>2.2323842914861762</v>
      </c>
    </row>
    <row r="134" spans="1:23">
      <c r="A134" s="123">
        <f>'Input data'!A136</f>
        <v>2036</v>
      </c>
      <c r="B134" s="1208">
        <f>'Recycling - Case 1'!AI116</f>
        <v>6437.6604656145792</v>
      </c>
      <c r="C134" s="1209">
        <f t="shared" si="33"/>
        <v>0.1</v>
      </c>
      <c r="D134" s="1209">
        <f t="shared" si="24"/>
        <v>0.9</v>
      </c>
      <c r="E134" s="53">
        <v>0</v>
      </c>
      <c r="F134" s="53">
        <v>0</v>
      </c>
      <c r="G134" s="776">
        <f t="shared" si="25"/>
        <v>0.51501283724916636</v>
      </c>
      <c r="H134" s="519">
        <f t="shared" si="26"/>
        <v>23.175577676212484</v>
      </c>
      <c r="I134" s="53"/>
      <c r="J134" s="776">
        <f>D134*$D$7*B134/1000</f>
        <v>1.3905346605727491</v>
      </c>
      <c r="K134" s="1210">
        <f>'Recycling - Case 1'!Z196</f>
        <v>3992.1553192580318</v>
      </c>
      <c r="L134" s="1209">
        <f t="shared" si="34"/>
        <v>0.1</v>
      </c>
      <c r="M134" s="1209">
        <f t="shared" si="28"/>
        <v>0.9</v>
      </c>
      <c r="N134" s="53">
        <f t="shared" si="35"/>
        <v>0</v>
      </c>
      <c r="O134" s="53">
        <f t="shared" si="35"/>
        <v>0</v>
      </c>
      <c r="P134" s="776">
        <f t="shared" si="32"/>
        <v>0.3193724255406426</v>
      </c>
      <c r="Q134" s="519">
        <f t="shared" si="21"/>
        <v>14.371759149328915</v>
      </c>
      <c r="R134" s="53"/>
      <c r="S134" s="1211">
        <f t="shared" si="22"/>
        <v>0.86230554895973488</v>
      </c>
      <c r="T134" s="1198">
        <f t="shared" si="23"/>
        <v>0.83438526278980896</v>
      </c>
      <c r="U134" s="1199">
        <f t="shared" si="23"/>
        <v>37.5473368255414</v>
      </c>
      <c r="V134" s="1199">
        <f t="shared" si="23"/>
        <v>0</v>
      </c>
      <c r="W134" s="1200">
        <f t="shared" si="23"/>
        <v>2.2528402095324838</v>
      </c>
    </row>
    <row r="135" spans="1:23">
      <c r="A135" s="123">
        <f>'Input data'!A137</f>
        <v>2037</v>
      </c>
      <c r="B135" s="1208">
        <f>'Recycling - Case 1'!AI117</f>
        <v>6437.6604656145792</v>
      </c>
      <c r="C135" s="1209">
        <f t="shared" si="33"/>
        <v>0.1</v>
      </c>
      <c r="D135" s="1209">
        <f t="shared" si="24"/>
        <v>0.9</v>
      </c>
      <c r="E135" s="53">
        <v>0</v>
      </c>
      <c r="F135" s="53">
        <v>0</v>
      </c>
      <c r="G135" s="776">
        <f t="shared" si="25"/>
        <v>0.51501283724916636</v>
      </c>
      <c r="H135" s="519">
        <f t="shared" si="26"/>
        <v>23.175577676212484</v>
      </c>
      <c r="I135" s="53"/>
      <c r="J135" s="776">
        <f t="shared" ref="J135:J148" si="36">D135*$D$7*B135/1000</f>
        <v>1.3905346605727491</v>
      </c>
      <c r="K135" s="1210">
        <f>'Recycling - Case 1'!Z197</f>
        <v>4095.1250637445028</v>
      </c>
      <c r="L135" s="1209">
        <f t="shared" si="34"/>
        <v>0.1</v>
      </c>
      <c r="M135" s="1209">
        <f t="shared" si="28"/>
        <v>0.9</v>
      </c>
      <c r="N135" s="53">
        <f t="shared" si="35"/>
        <v>0</v>
      </c>
      <c r="O135" s="53">
        <f t="shared" si="35"/>
        <v>0</v>
      </c>
      <c r="P135" s="776">
        <f t="shared" si="32"/>
        <v>0.32761000509956029</v>
      </c>
      <c r="Q135" s="519">
        <f t="shared" si="21"/>
        <v>14.742450229480209</v>
      </c>
      <c r="R135" s="53"/>
      <c r="S135" s="1211">
        <f t="shared" si="22"/>
        <v>0.88454701376881262</v>
      </c>
      <c r="T135" s="1198">
        <f t="shared" si="23"/>
        <v>0.84262284234872664</v>
      </c>
      <c r="U135" s="1199">
        <f t="shared" si="23"/>
        <v>37.918027905692696</v>
      </c>
      <c r="V135" s="1199">
        <f t="shared" si="23"/>
        <v>0</v>
      </c>
      <c r="W135" s="1200">
        <f t="shared" si="23"/>
        <v>2.2750816743415618</v>
      </c>
    </row>
    <row r="136" spans="1:23">
      <c r="A136" s="123">
        <f>'Input data'!A138</f>
        <v>2038</v>
      </c>
      <c r="B136" s="1208">
        <f>'Recycling - Case 1'!AI118</f>
        <v>6437.6604656145792</v>
      </c>
      <c r="C136" s="1209">
        <f t="shared" si="33"/>
        <v>0.1</v>
      </c>
      <c r="D136" s="1209">
        <f t="shared" si="24"/>
        <v>0.9</v>
      </c>
      <c r="E136" s="53">
        <v>0</v>
      </c>
      <c r="F136" s="53">
        <v>0</v>
      </c>
      <c r="G136" s="776">
        <f t="shared" si="25"/>
        <v>0.51501283724916636</v>
      </c>
      <c r="H136" s="519">
        <f t="shared" si="26"/>
        <v>23.175577676212484</v>
      </c>
      <c r="I136" s="53"/>
      <c r="J136" s="776">
        <f t="shared" si="36"/>
        <v>1.3905346605727491</v>
      </c>
      <c r="K136" s="1210">
        <f>'Recycling - Case 1'!Z198</f>
        <v>4195.0479450616976</v>
      </c>
      <c r="L136" s="1209">
        <f t="shared" si="34"/>
        <v>0.1</v>
      </c>
      <c r="M136" s="1209">
        <f t="shared" si="28"/>
        <v>0.9</v>
      </c>
      <c r="N136" s="53">
        <f t="shared" si="35"/>
        <v>0</v>
      </c>
      <c r="O136" s="53">
        <f t="shared" si="35"/>
        <v>0</v>
      </c>
      <c r="P136" s="776">
        <f t="shared" si="32"/>
        <v>0.33560383560493584</v>
      </c>
      <c r="Q136" s="519">
        <f t="shared" si="21"/>
        <v>15.102172602222112</v>
      </c>
      <c r="R136" s="53"/>
      <c r="S136" s="1211">
        <f t="shared" si="22"/>
        <v>0.90613035613332671</v>
      </c>
      <c r="T136" s="1198">
        <f t="shared" si="23"/>
        <v>0.85061667285410225</v>
      </c>
      <c r="U136" s="1199">
        <f t="shared" si="23"/>
        <v>38.277750278434596</v>
      </c>
      <c r="V136" s="1199">
        <f t="shared" si="23"/>
        <v>0</v>
      </c>
      <c r="W136" s="1200">
        <f t="shared" si="23"/>
        <v>2.2966650167060756</v>
      </c>
    </row>
    <row r="137" spans="1:23">
      <c r="A137" s="123">
        <f>'Input data'!A139</f>
        <v>2039</v>
      </c>
      <c r="B137" s="1208">
        <f>'Recycling - Case 1'!AI119</f>
        <v>6437.6604656145792</v>
      </c>
      <c r="C137" s="1209">
        <f t="shared" si="33"/>
        <v>0.1</v>
      </c>
      <c r="D137" s="1209">
        <f t="shared" si="24"/>
        <v>0.9</v>
      </c>
      <c r="E137" s="53">
        <v>0</v>
      </c>
      <c r="F137" s="53">
        <v>0</v>
      </c>
      <c r="G137" s="776">
        <f t="shared" si="25"/>
        <v>0.51501283724916636</v>
      </c>
      <c r="H137" s="519">
        <f t="shared" si="26"/>
        <v>23.175577676212484</v>
      </c>
      <c r="I137" s="53"/>
      <c r="J137" s="776">
        <f t="shared" si="36"/>
        <v>1.3905346605727491</v>
      </c>
      <c r="K137" s="1210">
        <f>'Recycling - Case 1'!Z199</f>
        <v>4297.1410898359891</v>
      </c>
      <c r="L137" s="1209">
        <f t="shared" si="34"/>
        <v>0.1</v>
      </c>
      <c r="M137" s="1209">
        <f t="shared" si="28"/>
        <v>0.9</v>
      </c>
      <c r="N137" s="53">
        <f t="shared" si="35"/>
        <v>0</v>
      </c>
      <c r="O137" s="53">
        <f t="shared" si="35"/>
        <v>0</v>
      </c>
      <c r="P137" s="776">
        <f t="shared" si="32"/>
        <v>0.34377128718687922</v>
      </c>
      <c r="Q137" s="519">
        <f t="shared" si="21"/>
        <v>15.469707923409562</v>
      </c>
      <c r="R137" s="53"/>
      <c r="S137" s="1211">
        <f t="shared" si="22"/>
        <v>0.92818247540457366</v>
      </c>
      <c r="T137" s="1198">
        <f t="shared" si="23"/>
        <v>0.85878412443604557</v>
      </c>
      <c r="U137" s="1199">
        <f t="shared" si="23"/>
        <v>38.645285599622042</v>
      </c>
      <c r="V137" s="1199">
        <f t="shared" si="23"/>
        <v>0</v>
      </c>
      <c r="W137" s="1200">
        <f t="shared" si="23"/>
        <v>2.3187171359773227</v>
      </c>
    </row>
    <row r="138" spans="1:23">
      <c r="A138" s="123">
        <f>'Input data'!A140</f>
        <v>2040</v>
      </c>
      <c r="B138" s="1208">
        <f>'Recycling - Case 1'!AI120</f>
        <v>6437.6604656145792</v>
      </c>
      <c r="C138" s="1209">
        <f t="shared" si="33"/>
        <v>0.1</v>
      </c>
      <c r="D138" s="1209">
        <f t="shared" si="24"/>
        <v>0.9</v>
      </c>
      <c r="E138" s="53">
        <v>0</v>
      </c>
      <c r="F138" s="53">
        <v>0</v>
      </c>
      <c r="G138" s="776">
        <f t="shared" si="25"/>
        <v>0.51501283724916636</v>
      </c>
      <c r="H138" s="519">
        <f t="shared" si="26"/>
        <v>23.175577676212484</v>
      </c>
      <c r="I138" s="53"/>
      <c r="J138" s="776">
        <f t="shared" si="36"/>
        <v>1.3905346605727491</v>
      </c>
      <c r="K138" s="1210">
        <f>'Recycling - Case 1'!Z200</f>
        <v>4400.5229525333853</v>
      </c>
      <c r="L138" s="1209">
        <f t="shared" si="34"/>
        <v>0.1</v>
      </c>
      <c r="M138" s="1209">
        <f t="shared" si="28"/>
        <v>0.9</v>
      </c>
      <c r="N138" s="53">
        <f t="shared" si="35"/>
        <v>0</v>
      </c>
      <c r="O138" s="53">
        <f t="shared" si="35"/>
        <v>0</v>
      </c>
      <c r="P138" s="776">
        <f t="shared" si="32"/>
        <v>0.35204183620267088</v>
      </c>
      <c r="Q138" s="519">
        <f t="shared" si="21"/>
        <v>15.841882629120187</v>
      </c>
      <c r="R138" s="53"/>
      <c r="S138" s="1211">
        <f t="shared" si="22"/>
        <v>0.95051295774721123</v>
      </c>
      <c r="T138" s="1198">
        <f t="shared" si="23"/>
        <v>0.86705467345183718</v>
      </c>
      <c r="U138" s="1199">
        <f t="shared" si="23"/>
        <v>39.017460305332669</v>
      </c>
      <c r="V138" s="1199">
        <f t="shared" si="23"/>
        <v>0</v>
      </c>
      <c r="W138" s="1200">
        <f t="shared" si="23"/>
        <v>2.3410476183199602</v>
      </c>
    </row>
    <row r="139" spans="1:23">
      <c r="A139" s="123">
        <f>'Input data'!A141</f>
        <v>2041</v>
      </c>
      <c r="B139" s="1208">
        <f>'Recycling - Case 1'!AI121</f>
        <v>6437.6604656145792</v>
      </c>
      <c r="C139" s="1209">
        <f t="shared" si="33"/>
        <v>0.1</v>
      </c>
      <c r="D139" s="1209">
        <f t="shared" si="24"/>
        <v>0.9</v>
      </c>
      <c r="E139" s="53">
        <v>0</v>
      </c>
      <c r="F139" s="53">
        <v>0</v>
      </c>
      <c r="G139" s="776">
        <f t="shared" si="25"/>
        <v>0.51501283724916636</v>
      </c>
      <c r="H139" s="519">
        <f t="shared" si="26"/>
        <v>23.175577676212484</v>
      </c>
      <c r="I139" s="53"/>
      <c r="J139" s="776">
        <f t="shared" si="36"/>
        <v>1.3905346605727491</v>
      </c>
      <c r="K139" s="1210">
        <f>'Recycling - Case 1'!Z201</f>
        <v>4514.6270989529849</v>
      </c>
      <c r="L139" s="1209">
        <f t="shared" si="34"/>
        <v>0.1</v>
      </c>
      <c r="M139" s="1209">
        <f t="shared" si="28"/>
        <v>0.9</v>
      </c>
      <c r="N139" s="53">
        <f t="shared" si="35"/>
        <v>0</v>
      </c>
      <c r="O139" s="53">
        <f t="shared" si="35"/>
        <v>0</v>
      </c>
      <c r="P139" s="776">
        <f t="shared" si="32"/>
        <v>0.3611701679162389</v>
      </c>
      <c r="Q139" s="519">
        <f t="shared" si="21"/>
        <v>16.252657556230748</v>
      </c>
      <c r="R139" s="53"/>
      <c r="S139" s="1211">
        <f t="shared" si="22"/>
        <v>0.97515945337384469</v>
      </c>
      <c r="T139" s="1198">
        <f t="shared" si="23"/>
        <v>0.87618300516540526</v>
      </c>
      <c r="U139" s="1199">
        <f t="shared" si="23"/>
        <v>39.428235232443228</v>
      </c>
      <c r="V139" s="1199">
        <f t="shared" si="23"/>
        <v>0</v>
      </c>
      <c r="W139" s="1200">
        <f t="shared" si="23"/>
        <v>2.3656941139465939</v>
      </c>
    </row>
    <row r="140" spans="1:23">
      <c r="A140" s="123">
        <f>'Input data'!A142</f>
        <v>2042</v>
      </c>
      <c r="B140" s="1208">
        <f>'Recycling - Case 1'!AI122</f>
        <v>6437.6604656145792</v>
      </c>
      <c r="C140" s="1209">
        <f t="shared" si="33"/>
        <v>0.1</v>
      </c>
      <c r="D140" s="1209">
        <f t="shared" si="24"/>
        <v>0.9</v>
      </c>
      <c r="E140" s="53">
        <v>0</v>
      </c>
      <c r="F140" s="53">
        <v>0</v>
      </c>
      <c r="G140" s="776">
        <f t="shared" si="25"/>
        <v>0.51501283724916636</v>
      </c>
      <c r="H140" s="519">
        <f t="shared" si="26"/>
        <v>23.175577676212484</v>
      </c>
      <c r="I140" s="53"/>
      <c r="J140" s="776">
        <f t="shared" si="36"/>
        <v>1.3905346605727491</v>
      </c>
      <c r="K140" s="1210">
        <f>'Recycling - Case 1'!Z202</f>
        <v>4619.8617671313086</v>
      </c>
      <c r="L140" s="1209">
        <f t="shared" si="34"/>
        <v>0.1</v>
      </c>
      <c r="M140" s="1209">
        <f t="shared" si="28"/>
        <v>0.9</v>
      </c>
      <c r="N140" s="53">
        <f t="shared" si="35"/>
        <v>0</v>
      </c>
      <c r="O140" s="53">
        <f t="shared" si="35"/>
        <v>0</v>
      </c>
      <c r="P140" s="776">
        <f t="shared" si="32"/>
        <v>0.36958894137050474</v>
      </c>
      <c r="Q140" s="519">
        <f t="shared" si="21"/>
        <v>16.631502361672712</v>
      </c>
      <c r="R140" s="53"/>
      <c r="S140" s="1211">
        <f t="shared" si="22"/>
        <v>0.99789014170036261</v>
      </c>
      <c r="T140" s="1198">
        <f t="shared" si="23"/>
        <v>0.88460177861967115</v>
      </c>
      <c r="U140" s="1199">
        <f t="shared" si="23"/>
        <v>39.8070800378852</v>
      </c>
      <c r="V140" s="1199">
        <f t="shared" si="23"/>
        <v>0</v>
      </c>
      <c r="W140" s="1200">
        <f t="shared" si="23"/>
        <v>2.3884248022731116</v>
      </c>
    </row>
    <row r="141" spans="1:23">
      <c r="A141" s="123">
        <f>'Input data'!A143</f>
        <v>2043</v>
      </c>
      <c r="B141" s="1208">
        <f>'Recycling - Case 1'!AI123</f>
        <v>6437.6604656145792</v>
      </c>
      <c r="C141" s="1209">
        <f t="shared" si="33"/>
        <v>0.1</v>
      </c>
      <c r="D141" s="1209">
        <f t="shared" si="24"/>
        <v>0.9</v>
      </c>
      <c r="E141" s="53">
        <v>0</v>
      </c>
      <c r="F141" s="53">
        <v>0</v>
      </c>
      <c r="G141" s="776">
        <f t="shared" si="25"/>
        <v>0.51501283724916636</v>
      </c>
      <c r="H141" s="519">
        <f t="shared" si="26"/>
        <v>23.175577676212484</v>
      </c>
      <c r="I141" s="53"/>
      <c r="J141" s="776">
        <f t="shared" si="36"/>
        <v>1.3905346605727491</v>
      </c>
      <c r="K141" s="1210">
        <f>'Recycling - Case 1'!Z203</f>
        <v>4725.2965994162041</v>
      </c>
      <c r="L141" s="1209">
        <f t="shared" si="34"/>
        <v>0.1</v>
      </c>
      <c r="M141" s="1209">
        <f t="shared" si="28"/>
        <v>0.9</v>
      </c>
      <c r="N141" s="53">
        <f t="shared" si="35"/>
        <v>0</v>
      </c>
      <c r="O141" s="53">
        <f t="shared" si="35"/>
        <v>0</v>
      </c>
      <c r="P141" s="776">
        <f t="shared" si="32"/>
        <v>0.37802372795329642</v>
      </c>
      <c r="Q141" s="519">
        <f t="shared" si="21"/>
        <v>17.011067757898335</v>
      </c>
      <c r="R141" s="53"/>
      <c r="S141" s="1211">
        <f t="shared" si="22"/>
        <v>1.0206640654739001</v>
      </c>
      <c r="T141" s="1198">
        <f t="shared" si="23"/>
        <v>0.89303656520246277</v>
      </c>
      <c r="U141" s="1199">
        <f t="shared" si="23"/>
        <v>40.186645434110815</v>
      </c>
      <c r="V141" s="1199">
        <f t="shared" si="23"/>
        <v>0</v>
      </c>
      <c r="W141" s="1200">
        <f t="shared" si="23"/>
        <v>2.4111987260466492</v>
      </c>
    </row>
    <row r="142" spans="1:23">
      <c r="A142" s="123">
        <f>'Input data'!A144</f>
        <v>2044</v>
      </c>
      <c r="B142" s="1208">
        <f>'Recycling - Case 1'!AI124</f>
        <v>6437.6604656145792</v>
      </c>
      <c r="C142" s="1209">
        <f t="shared" si="33"/>
        <v>0.1</v>
      </c>
      <c r="D142" s="1209">
        <f t="shared" si="24"/>
        <v>0.9</v>
      </c>
      <c r="E142" s="53">
        <v>0</v>
      </c>
      <c r="F142" s="53">
        <v>0</v>
      </c>
      <c r="G142" s="776">
        <f t="shared" si="25"/>
        <v>0.51501283724916636</v>
      </c>
      <c r="H142" s="519">
        <f t="shared" si="26"/>
        <v>23.175577676212484</v>
      </c>
      <c r="I142" s="53"/>
      <c r="J142" s="776">
        <f t="shared" si="36"/>
        <v>1.3905346605727491</v>
      </c>
      <c r="K142" s="1210">
        <f>'Recycling - Case 1'!Z204</f>
        <v>4833.0377582933197</v>
      </c>
      <c r="L142" s="1209">
        <f t="shared" si="34"/>
        <v>0.1</v>
      </c>
      <c r="M142" s="1209">
        <f t="shared" si="28"/>
        <v>0.9</v>
      </c>
      <c r="N142" s="53">
        <f t="shared" si="35"/>
        <v>0</v>
      </c>
      <c r="O142" s="53">
        <f t="shared" si="35"/>
        <v>0</v>
      </c>
      <c r="P142" s="776">
        <f t="shared" si="32"/>
        <v>0.38664302066346568</v>
      </c>
      <c r="Q142" s="519">
        <f t="shared" si="21"/>
        <v>17.398935929855949</v>
      </c>
      <c r="R142" s="53"/>
      <c r="S142" s="1211">
        <f t="shared" si="22"/>
        <v>1.0439361557913571</v>
      </c>
      <c r="T142" s="1198">
        <f t="shared" si="23"/>
        <v>0.90165585791263203</v>
      </c>
      <c r="U142" s="1199">
        <f t="shared" si="23"/>
        <v>40.574513606068436</v>
      </c>
      <c r="V142" s="1199">
        <f t="shared" si="23"/>
        <v>0</v>
      </c>
      <c r="W142" s="1200">
        <f t="shared" si="23"/>
        <v>2.4344708163641062</v>
      </c>
    </row>
    <row r="143" spans="1:23">
      <c r="A143" s="123">
        <f>'Input data'!A145</f>
        <v>2045</v>
      </c>
      <c r="B143" s="1208">
        <f>'Recycling - Case 1'!AI125</f>
        <v>6437.6604656145792</v>
      </c>
      <c r="C143" s="1209">
        <f t="shared" si="33"/>
        <v>0.1</v>
      </c>
      <c r="D143" s="1209">
        <f t="shared" si="24"/>
        <v>0.9</v>
      </c>
      <c r="E143" s="53">
        <v>0</v>
      </c>
      <c r="F143" s="53">
        <v>0</v>
      </c>
      <c r="G143" s="776">
        <f t="shared" si="25"/>
        <v>0.51501283724916636</v>
      </c>
      <c r="H143" s="519">
        <f t="shared" si="26"/>
        <v>23.175577676212484</v>
      </c>
      <c r="I143" s="53"/>
      <c r="J143" s="776">
        <f t="shared" si="36"/>
        <v>1.3905346605727491</v>
      </c>
      <c r="K143" s="1210">
        <f>'Recycling - Case 1'!Z205</f>
        <v>4943.8418730466392</v>
      </c>
      <c r="L143" s="1209">
        <f t="shared" si="34"/>
        <v>0.1</v>
      </c>
      <c r="M143" s="1209">
        <f t="shared" si="28"/>
        <v>0.9</v>
      </c>
      <c r="N143" s="53">
        <f t="shared" si="35"/>
        <v>0</v>
      </c>
      <c r="O143" s="53">
        <f t="shared" si="35"/>
        <v>0</v>
      </c>
      <c r="P143" s="776">
        <f t="shared" si="32"/>
        <v>0.3955073498437312</v>
      </c>
      <c r="Q143" s="519">
        <f t="shared" si="21"/>
        <v>17.7978307429679</v>
      </c>
      <c r="R143" s="53"/>
      <c r="S143" s="1211">
        <f t="shared" si="22"/>
        <v>1.0678698445780739</v>
      </c>
      <c r="T143" s="1198">
        <f t="shared" si="23"/>
        <v>0.91052018709289761</v>
      </c>
      <c r="U143" s="1199">
        <f t="shared" si="23"/>
        <v>40.973408419180387</v>
      </c>
      <c r="V143" s="1199">
        <f t="shared" si="23"/>
        <v>0</v>
      </c>
      <c r="W143" s="1200">
        <f t="shared" si="23"/>
        <v>2.4584045051508232</v>
      </c>
    </row>
    <row r="144" spans="1:23">
      <c r="A144" s="123">
        <f>'Input data'!A146</f>
        <v>2046</v>
      </c>
      <c r="B144" s="1208">
        <f>'Recycling - Case 1'!AI126</f>
        <v>6437.6604656145792</v>
      </c>
      <c r="C144" s="1209">
        <f t="shared" si="33"/>
        <v>0.1</v>
      </c>
      <c r="D144" s="1209">
        <f t="shared" si="24"/>
        <v>0.9</v>
      </c>
      <c r="E144" s="53">
        <v>0</v>
      </c>
      <c r="F144" s="53">
        <v>0</v>
      </c>
      <c r="G144" s="776">
        <f t="shared" si="25"/>
        <v>0.51501283724916636</v>
      </c>
      <c r="H144" s="519">
        <f t="shared" si="26"/>
        <v>23.175577676212484</v>
      </c>
      <c r="I144" s="53"/>
      <c r="J144" s="776">
        <f t="shared" si="36"/>
        <v>1.3905346605727491</v>
      </c>
      <c r="K144" s="1210">
        <f>'Recycling - Case 1'!Z206</f>
        <v>5067.2658790898813</v>
      </c>
      <c r="L144" s="1209">
        <f t="shared" si="34"/>
        <v>0.1</v>
      </c>
      <c r="M144" s="1209">
        <f t="shared" si="28"/>
        <v>0.9</v>
      </c>
      <c r="N144" s="53">
        <f t="shared" si="35"/>
        <v>0</v>
      </c>
      <c r="O144" s="53">
        <f t="shared" si="35"/>
        <v>0</v>
      </c>
      <c r="P144" s="776">
        <f t="shared" si="32"/>
        <v>0.40538127032719057</v>
      </c>
      <c r="Q144" s="519">
        <f t="shared" si="21"/>
        <v>18.242157164723572</v>
      </c>
      <c r="R144" s="53"/>
      <c r="S144" s="1211">
        <f t="shared" si="22"/>
        <v>1.0945294298834145</v>
      </c>
      <c r="T144" s="1198">
        <f t="shared" si="23"/>
        <v>0.92039410757635687</v>
      </c>
      <c r="U144" s="1199">
        <f t="shared" si="23"/>
        <v>41.417734840936056</v>
      </c>
      <c r="V144" s="1199">
        <f t="shared" si="23"/>
        <v>0</v>
      </c>
      <c r="W144" s="1200">
        <f t="shared" si="23"/>
        <v>2.4850640904561638</v>
      </c>
    </row>
    <row r="145" spans="1:23">
      <c r="A145" s="123">
        <f>'Input data'!A147</f>
        <v>2047</v>
      </c>
      <c r="B145" s="1208">
        <f>'Recycling - Case 1'!AI127</f>
        <v>6437.6604656145792</v>
      </c>
      <c r="C145" s="1209">
        <f t="shared" si="33"/>
        <v>0.1</v>
      </c>
      <c r="D145" s="1209">
        <f t="shared" si="24"/>
        <v>0.9</v>
      </c>
      <c r="E145" s="53">
        <v>0</v>
      </c>
      <c r="F145" s="53">
        <v>0</v>
      </c>
      <c r="G145" s="776">
        <f t="shared" si="25"/>
        <v>0.51501283724916636</v>
      </c>
      <c r="H145" s="519">
        <f t="shared" si="26"/>
        <v>23.175577676212484</v>
      </c>
      <c r="I145" s="53"/>
      <c r="J145" s="776">
        <f t="shared" si="36"/>
        <v>1.3905346605727491</v>
      </c>
      <c r="K145" s="1210">
        <f>'Recycling - Case 1'!Z207</f>
        <v>5163.6864504210689</v>
      </c>
      <c r="L145" s="1209">
        <f t="shared" si="34"/>
        <v>0.1</v>
      </c>
      <c r="M145" s="1209">
        <f t="shared" si="28"/>
        <v>0.9</v>
      </c>
      <c r="N145" s="53">
        <f t="shared" si="35"/>
        <v>0</v>
      </c>
      <c r="O145" s="53">
        <f t="shared" si="35"/>
        <v>0</v>
      </c>
      <c r="P145" s="776">
        <f t="shared" si="32"/>
        <v>0.41309491603368559</v>
      </c>
      <c r="Q145" s="519">
        <f t="shared" si="21"/>
        <v>18.589271221515851</v>
      </c>
      <c r="R145" s="53"/>
      <c r="S145" s="1211">
        <f t="shared" si="22"/>
        <v>1.1153562732909508</v>
      </c>
      <c r="T145" s="1198">
        <f t="shared" si="23"/>
        <v>0.92810775328285189</v>
      </c>
      <c r="U145" s="1199">
        <f t="shared" si="23"/>
        <v>41.764848897728335</v>
      </c>
      <c r="V145" s="1199">
        <f t="shared" si="23"/>
        <v>0</v>
      </c>
      <c r="W145" s="1200">
        <f t="shared" si="23"/>
        <v>2.5058909338637001</v>
      </c>
    </row>
    <row r="146" spans="1:23">
      <c r="A146" s="123">
        <f>'Input data'!A148</f>
        <v>2048</v>
      </c>
      <c r="B146" s="1208">
        <f>'Recycling - Case 1'!AI128</f>
        <v>6437.6604656145792</v>
      </c>
      <c r="C146" s="1209">
        <f t="shared" si="33"/>
        <v>0.1</v>
      </c>
      <c r="D146" s="1209">
        <f t="shared" si="24"/>
        <v>0.9</v>
      </c>
      <c r="E146" s="53">
        <v>0</v>
      </c>
      <c r="F146" s="53">
        <v>0</v>
      </c>
      <c r="G146" s="776">
        <f t="shared" si="25"/>
        <v>0.51501283724916636</v>
      </c>
      <c r="H146" s="519">
        <f t="shared" si="26"/>
        <v>23.175577676212484</v>
      </c>
      <c r="I146" s="53"/>
      <c r="J146" s="776">
        <f t="shared" si="36"/>
        <v>1.3905346605727491</v>
      </c>
      <c r="K146" s="1210">
        <f>'Recycling - Case 1'!Z208</f>
        <v>5262.5257223033932</v>
      </c>
      <c r="L146" s="1209">
        <f t="shared" si="34"/>
        <v>0.1</v>
      </c>
      <c r="M146" s="1209">
        <f t="shared" si="28"/>
        <v>0.9</v>
      </c>
      <c r="N146" s="53">
        <f t="shared" si="35"/>
        <v>0</v>
      </c>
      <c r="O146" s="53">
        <f t="shared" si="35"/>
        <v>0</v>
      </c>
      <c r="P146" s="776">
        <f t="shared" si="32"/>
        <v>0.42100205778427152</v>
      </c>
      <c r="Q146" s="519">
        <f t="shared" si="21"/>
        <v>18.945092600292217</v>
      </c>
      <c r="R146" s="53"/>
      <c r="S146" s="1211">
        <f t="shared" si="22"/>
        <v>1.136705556017533</v>
      </c>
      <c r="T146" s="1198">
        <f t="shared" si="23"/>
        <v>0.93601489503343793</v>
      </c>
      <c r="U146" s="1199">
        <f t="shared" si="23"/>
        <v>42.120670276504697</v>
      </c>
      <c r="V146" s="1199">
        <f t="shared" si="23"/>
        <v>0</v>
      </c>
      <c r="W146" s="1200">
        <f t="shared" si="23"/>
        <v>2.5272402165902821</v>
      </c>
    </row>
    <row r="147" spans="1:23">
      <c r="A147" s="123">
        <f>'Input data'!A149</f>
        <v>2049</v>
      </c>
      <c r="B147" s="1208">
        <f>'Recycling - Case 1'!AI129</f>
        <v>6437.6604656145792</v>
      </c>
      <c r="C147" s="1209">
        <f t="shared" si="33"/>
        <v>0.1</v>
      </c>
      <c r="D147" s="1209">
        <f t="shared" si="24"/>
        <v>0.9</v>
      </c>
      <c r="E147" s="53">
        <v>0</v>
      </c>
      <c r="F147" s="53">
        <v>0</v>
      </c>
      <c r="G147" s="776">
        <f t="shared" si="25"/>
        <v>0.51501283724916636</v>
      </c>
      <c r="H147" s="519">
        <f t="shared" si="26"/>
        <v>23.175577676212484</v>
      </c>
      <c r="I147" s="53"/>
      <c r="J147" s="776">
        <f t="shared" si="36"/>
        <v>1.3905346605727491</v>
      </c>
      <c r="K147" s="1210">
        <f>'Recycling - Case 1'!Z209</f>
        <v>5358.4864389974309</v>
      </c>
      <c r="L147" s="1209">
        <f t="shared" si="34"/>
        <v>0.1</v>
      </c>
      <c r="M147" s="1209">
        <f t="shared" si="28"/>
        <v>0.9</v>
      </c>
      <c r="N147" s="53">
        <f t="shared" si="35"/>
        <v>0</v>
      </c>
      <c r="O147" s="53">
        <f t="shared" si="35"/>
        <v>0</v>
      </c>
      <c r="P147" s="776">
        <f t="shared" si="32"/>
        <v>0.42867891511979456</v>
      </c>
      <c r="Q147" s="519">
        <f t="shared" si="21"/>
        <v>19.29055118039075</v>
      </c>
      <c r="R147" s="53"/>
      <c r="S147" s="1211">
        <f t="shared" si="22"/>
        <v>1.1574330708234453</v>
      </c>
      <c r="T147" s="1198">
        <f t="shared" si="23"/>
        <v>0.94369175236896097</v>
      </c>
      <c r="U147" s="1199">
        <f t="shared" si="23"/>
        <v>42.466128856603234</v>
      </c>
      <c r="V147" s="1199">
        <f t="shared" si="23"/>
        <v>0</v>
      </c>
      <c r="W147" s="1200">
        <f t="shared" si="23"/>
        <v>2.5479677313961941</v>
      </c>
    </row>
    <row r="148" spans="1:23" ht="15.75" thickBot="1">
      <c r="A148" s="123">
        <f>'Input data'!A150</f>
        <v>2050</v>
      </c>
      <c r="B148" s="1208">
        <f>'Recycling - Case 1'!AI130</f>
        <v>6437.6604656145792</v>
      </c>
      <c r="C148" s="578">
        <f t="shared" si="33"/>
        <v>0.1</v>
      </c>
      <c r="D148" s="578">
        <f t="shared" si="24"/>
        <v>0.9</v>
      </c>
      <c r="E148" s="1212">
        <v>0</v>
      </c>
      <c r="F148" s="1212">
        <v>0</v>
      </c>
      <c r="G148" s="776">
        <f t="shared" si="25"/>
        <v>0.51501283724916636</v>
      </c>
      <c r="H148" s="519">
        <f t="shared" si="26"/>
        <v>23.175577676212484</v>
      </c>
      <c r="I148" s="1212"/>
      <c r="J148" s="1213">
        <f t="shared" si="36"/>
        <v>1.3905346605727491</v>
      </c>
      <c r="K148" s="1210">
        <f>'Recycling - Case 1'!Z210</f>
        <v>5457.3324760629976</v>
      </c>
      <c r="L148" s="578">
        <f t="shared" si="34"/>
        <v>0.1</v>
      </c>
      <c r="M148" s="578">
        <f t="shared" si="28"/>
        <v>0.9</v>
      </c>
      <c r="N148" s="1212">
        <f t="shared" si="35"/>
        <v>0</v>
      </c>
      <c r="O148" s="1212">
        <f t="shared" si="35"/>
        <v>0</v>
      </c>
      <c r="P148" s="1213">
        <f t="shared" si="32"/>
        <v>0.43658659808503991</v>
      </c>
      <c r="Q148" s="1144">
        <f t="shared" si="21"/>
        <v>19.646396913826791</v>
      </c>
      <c r="R148" s="1212"/>
      <c r="S148" s="1214">
        <f t="shared" si="22"/>
        <v>1.1787838148296075</v>
      </c>
      <c r="T148" s="1215">
        <f t="shared" si="23"/>
        <v>0.95159943533420632</v>
      </c>
      <c r="U148" s="1216">
        <f t="shared" si="23"/>
        <v>42.821974590039275</v>
      </c>
      <c r="V148" s="1216">
        <f t="shared" si="23"/>
        <v>0</v>
      </c>
      <c r="W148" s="1217">
        <f t="shared" si="23"/>
        <v>2.5693184754023566</v>
      </c>
    </row>
    <row r="149" spans="1:23">
      <c r="A149" s="1202" t="s">
        <v>645</v>
      </c>
      <c r="B149" s="1203"/>
      <c r="C149" s="1218"/>
      <c r="D149" s="1218"/>
      <c r="E149" s="1219"/>
      <c r="F149" s="1219"/>
      <c r="G149" s="1220"/>
      <c r="H149" s="1221"/>
      <c r="I149" s="1222"/>
      <c r="J149" s="1220"/>
      <c r="K149" s="1223"/>
      <c r="L149" s="1218"/>
      <c r="M149" s="1218"/>
      <c r="N149" s="1219"/>
      <c r="O149" s="1219"/>
      <c r="P149" s="1220"/>
      <c r="Q149" s="1221"/>
      <c r="R149" s="1219"/>
      <c r="S149" s="1224"/>
      <c r="T149" s="1194"/>
      <c r="U149" s="1195"/>
      <c r="V149" s="1195"/>
      <c r="W149" s="1196"/>
    </row>
    <row r="150" spans="1:23">
      <c r="A150" s="123">
        <f>'Input data'!A118</f>
        <v>2018</v>
      </c>
      <c r="B150" s="1208">
        <f>'Recycling - Case 2'!AI98</f>
        <v>3707.5235423427162</v>
      </c>
      <c r="C150" s="1209">
        <f>($C$154-$C$80)/($A$154-$A$80)+C80</f>
        <v>6.0000000000000005E-2</v>
      </c>
      <c r="D150" s="1209">
        <f>1-C150</f>
        <v>0.94</v>
      </c>
      <c r="E150" s="53">
        <v>0</v>
      </c>
      <c r="F150" s="53">
        <v>0</v>
      </c>
      <c r="G150" s="776">
        <f>C150*$D$5*B150/1000-E150</f>
        <v>0.1779611300324504</v>
      </c>
      <c r="H150" s="519">
        <f>D150*$D$4*B150/1000-F150</f>
        <v>13.940288519208613</v>
      </c>
      <c r="I150" s="53"/>
      <c r="J150" s="776">
        <f>D150*$D$7*B150/1000</f>
        <v>0.83641731115251661</v>
      </c>
      <c r="K150" s="1210">
        <f>'Recycling - Case 2'!Z138</f>
        <v>1789.9687605419947</v>
      </c>
      <c r="L150" s="1209">
        <f>($L$154-$L$80)/($A$154-$A$80)+L80</f>
        <v>0.1</v>
      </c>
      <c r="M150" s="1209">
        <f>($M$154-$M$80)/($A$154-$A$80)+M80</f>
        <v>0.9</v>
      </c>
      <c r="N150" s="53">
        <f>N114</f>
        <v>0</v>
      </c>
      <c r="O150" s="53">
        <f>O114</f>
        <v>0</v>
      </c>
      <c r="P150" s="776">
        <f>L150*$D$5*K150/1000-N150</f>
        <v>0.14319750084335958</v>
      </c>
      <c r="Q150" s="519">
        <f t="shared" ref="Q150:Q182" si="37">M150*$D$4*K150/1000-O150</f>
        <v>6.4438875379511806</v>
      </c>
      <c r="R150" s="53"/>
      <c r="S150" s="1211">
        <f t="shared" ref="S150:S182" si="38">M150*$D$7*K150/1000</f>
        <v>0.38663325227707085</v>
      </c>
      <c r="T150" s="1198">
        <f t="shared" ref="T150:W182" si="39">G150+P150</f>
        <v>0.32115863087580998</v>
      </c>
      <c r="U150" s="1199">
        <f t="shared" si="39"/>
        <v>20.384176057159792</v>
      </c>
      <c r="V150" s="1199">
        <f t="shared" si="39"/>
        <v>0</v>
      </c>
      <c r="W150" s="1200">
        <f t="shared" si="39"/>
        <v>1.2230505634295874</v>
      </c>
    </row>
    <row r="151" spans="1:23">
      <c r="A151" s="123">
        <f>'Input data'!A119</f>
        <v>2019</v>
      </c>
      <c r="B151" s="1208">
        <f>'Recycling - Case 2'!AI99</f>
        <v>4010.8720893729233</v>
      </c>
      <c r="C151" s="1209">
        <f>($C$154-$C$80)/($A$154-$A$80)+C150</f>
        <v>7.0000000000000007E-2</v>
      </c>
      <c r="D151" s="1209">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0">
        <f>'Recycling - Case 2'!Z139</f>
        <v>2572.2972467623063</v>
      </c>
      <c r="L151" s="1209">
        <f>($L$154-$L$80)/($A$154-$A$80)+L150</f>
        <v>0.1</v>
      </c>
      <c r="M151" s="1209">
        <f>($M$154-$M$80)/($A$154-$A$80)+M150</f>
        <v>0.9</v>
      </c>
      <c r="N151" s="53">
        <f t="shared" ref="N151:O166" si="44">N149</f>
        <v>0</v>
      </c>
      <c r="O151" s="53">
        <f t="shared" si="44"/>
        <v>0</v>
      </c>
      <c r="P151" s="776">
        <f t="shared" ref="P151:P182" si="45">L151*$D$5*K151/1000-N151</f>
        <v>0.20578377974098452</v>
      </c>
      <c r="Q151" s="519">
        <f t="shared" si="37"/>
        <v>9.2602700883443028</v>
      </c>
      <c r="R151" s="53"/>
      <c r="S151" s="1211">
        <f t="shared" si="38"/>
        <v>0.55561620530065814</v>
      </c>
      <c r="T151" s="1198">
        <f t="shared" si="39"/>
        <v>0.43039261674586826</v>
      </c>
      <c r="U151" s="1199">
        <f t="shared" si="39"/>
        <v>24.180714260811577</v>
      </c>
      <c r="V151" s="1199">
        <f t="shared" si="39"/>
        <v>0</v>
      </c>
      <c r="W151" s="1200">
        <f t="shared" si="39"/>
        <v>1.4508428556486945</v>
      </c>
    </row>
    <row r="152" spans="1:23">
      <c r="A152" s="123">
        <f>'Input data'!A120</f>
        <v>2020</v>
      </c>
      <c r="B152" s="1208">
        <f>'Recycling - Case 2'!AI100</f>
        <v>4617.5691834333375</v>
      </c>
      <c r="C152" s="1209">
        <f>($C$154-$C$80)/($A$154-$A$80)+C151</f>
        <v>0.08</v>
      </c>
      <c r="D152" s="1209">
        <f t="shared" si="40"/>
        <v>0.92</v>
      </c>
      <c r="E152" s="53">
        <v>0</v>
      </c>
      <c r="F152" s="53">
        <v>0</v>
      </c>
      <c r="G152" s="776">
        <f t="shared" si="41"/>
        <v>0.29552442773973359</v>
      </c>
      <c r="H152" s="519">
        <f t="shared" si="42"/>
        <v>16.992654595034679</v>
      </c>
      <c r="I152" s="53"/>
      <c r="J152" s="776">
        <f t="shared" si="43"/>
        <v>1.0195592757020808</v>
      </c>
      <c r="K152" s="1210">
        <f>'Recycling - Case 2'!Z140</f>
        <v>2567.1213118810192</v>
      </c>
      <c r="L152" s="1209">
        <f>($L$154-$L$80)/($A$154-$A$80)+L151</f>
        <v>0.1</v>
      </c>
      <c r="M152" s="1209">
        <f>($M$154-$M$80)/($A$154-$A$80)+M151</f>
        <v>0.9</v>
      </c>
      <c r="N152" s="53">
        <f t="shared" si="44"/>
        <v>0</v>
      </c>
      <c r="O152" s="53">
        <f t="shared" si="44"/>
        <v>0</v>
      </c>
      <c r="P152" s="776">
        <f t="shared" si="45"/>
        <v>0.20536970495048157</v>
      </c>
      <c r="Q152" s="519">
        <f t="shared" si="37"/>
        <v>9.2416367227716698</v>
      </c>
      <c r="R152" s="53"/>
      <c r="S152" s="1211">
        <f t="shared" si="38"/>
        <v>0.55449820336630007</v>
      </c>
      <c r="T152" s="1198">
        <f t="shared" si="39"/>
        <v>0.50089413269021521</v>
      </c>
      <c r="U152" s="1199">
        <f t="shared" si="39"/>
        <v>26.234291317806349</v>
      </c>
      <c r="V152" s="1199">
        <f t="shared" si="39"/>
        <v>0</v>
      </c>
      <c r="W152" s="1200">
        <f t="shared" si="39"/>
        <v>1.5740574790683808</v>
      </c>
    </row>
    <row r="153" spans="1:23">
      <c r="A153" s="123">
        <f>'Input data'!A121</f>
        <v>2021</v>
      </c>
      <c r="B153" s="1208">
        <f>'Recycling - Case 2'!AI101</f>
        <v>5830.9633715541659</v>
      </c>
      <c r="C153" s="1209">
        <f>($C$154-$C$80)/($A$154-$A$80)+C152</f>
        <v>0.09</v>
      </c>
      <c r="D153" s="1209">
        <f t="shared" si="40"/>
        <v>0.91</v>
      </c>
      <c r="E153" s="53">
        <v>0</v>
      </c>
      <c r="F153" s="53">
        <v>0</v>
      </c>
      <c r="G153" s="776">
        <f t="shared" si="41"/>
        <v>0.41982936275189991</v>
      </c>
      <c r="H153" s="519">
        <f t="shared" si="42"/>
        <v>21.224706672457163</v>
      </c>
      <c r="I153" s="53"/>
      <c r="J153" s="776">
        <f t="shared" si="43"/>
        <v>1.2734824003474299</v>
      </c>
      <c r="K153" s="1210">
        <f>'Recycling - Case 2'!Z141</f>
        <v>2937.7655654826231</v>
      </c>
      <c r="L153" s="1209">
        <f>($L$154-$L$80)/($A$154-$A$80)+L152</f>
        <v>0.1</v>
      </c>
      <c r="M153" s="1209">
        <f>($M$154-$M$80)/($A$154-$A$80)+M152</f>
        <v>0.9</v>
      </c>
      <c r="N153" s="53">
        <f t="shared" si="44"/>
        <v>0</v>
      </c>
      <c r="O153" s="53">
        <f t="shared" si="44"/>
        <v>0</v>
      </c>
      <c r="P153" s="776">
        <f t="shared" si="45"/>
        <v>0.23502124523860987</v>
      </c>
      <c r="Q153" s="519">
        <f t="shared" si="37"/>
        <v>10.575956035737443</v>
      </c>
      <c r="R153" s="53"/>
      <c r="S153" s="1211">
        <f t="shared" si="38"/>
        <v>0.63455736214424652</v>
      </c>
      <c r="T153" s="1198">
        <f t="shared" si="39"/>
        <v>0.65485060799050976</v>
      </c>
      <c r="U153" s="1199">
        <f t="shared" si="39"/>
        <v>31.800662708194608</v>
      </c>
      <c r="V153" s="1199">
        <f t="shared" si="39"/>
        <v>0</v>
      </c>
      <c r="W153" s="1200">
        <f t="shared" si="39"/>
        <v>1.9080397624916765</v>
      </c>
    </row>
    <row r="154" spans="1:23">
      <c r="A154" s="123">
        <f>'Input data'!A122</f>
        <v>2022</v>
      </c>
      <c r="B154" s="1208">
        <f>'Recycling - Case 2'!AI102</f>
        <v>6437.6604656145792</v>
      </c>
      <c r="C154" s="1209">
        <f>'Recycling - Case 2'!E31</f>
        <v>0.1</v>
      </c>
      <c r="D154" s="1209">
        <f>'Recycling - Case 2'!F31</f>
        <v>0.9</v>
      </c>
      <c r="E154" s="53">
        <v>0</v>
      </c>
      <c r="F154" s="53">
        <v>0</v>
      </c>
      <c r="G154" s="776">
        <f t="shared" si="41"/>
        <v>0.51501283724916636</v>
      </c>
      <c r="H154" s="519">
        <f t="shared" si="42"/>
        <v>23.175577676212484</v>
      </c>
      <c r="I154" s="53"/>
      <c r="J154" s="776">
        <f t="shared" si="43"/>
        <v>1.3905346605727491</v>
      </c>
      <c r="K154" s="1210">
        <f>'Recycling - Case 2'!Z142</f>
        <v>3143.3394376331189</v>
      </c>
      <c r="L154" s="1209">
        <f>'Recycling - Case 2'!E31</f>
        <v>0.1</v>
      </c>
      <c r="M154" s="1209">
        <f>'Recycling - Case 2'!F31</f>
        <v>0.9</v>
      </c>
      <c r="N154" s="53">
        <f t="shared" si="44"/>
        <v>0</v>
      </c>
      <c r="O154" s="53">
        <f t="shared" si="44"/>
        <v>0</v>
      </c>
      <c r="P154" s="776">
        <f t="shared" si="45"/>
        <v>0.25146715501064953</v>
      </c>
      <c r="Q154" s="519">
        <f t="shared" si="37"/>
        <v>11.316021975479229</v>
      </c>
      <c r="R154" s="53"/>
      <c r="S154" s="1211">
        <f t="shared" si="38"/>
        <v>0.67896131852875363</v>
      </c>
      <c r="T154" s="1198">
        <f t="shared" si="39"/>
        <v>0.76647999225981589</v>
      </c>
      <c r="U154" s="1199">
        <f t="shared" si="39"/>
        <v>34.491599651691715</v>
      </c>
      <c r="V154" s="1199">
        <f t="shared" si="39"/>
        <v>0</v>
      </c>
      <c r="W154" s="1200">
        <f t="shared" si="39"/>
        <v>2.0694959791015028</v>
      </c>
    </row>
    <row r="155" spans="1:23">
      <c r="A155" s="123">
        <f>'Input data'!A123</f>
        <v>2023</v>
      </c>
      <c r="B155" s="1208">
        <f>'Recycling - Case 2'!AI103</f>
        <v>6437.6604656145792</v>
      </c>
      <c r="C155" s="1209">
        <f>C154</f>
        <v>0.1</v>
      </c>
      <c r="D155" s="1209">
        <f>D154</f>
        <v>0.9</v>
      </c>
      <c r="E155" s="53">
        <v>0</v>
      </c>
      <c r="F155" s="53">
        <v>0</v>
      </c>
      <c r="G155" s="776">
        <f t="shared" si="41"/>
        <v>0.51501283724916636</v>
      </c>
      <c r="H155" s="519">
        <f t="shared" si="42"/>
        <v>23.175577676212484</v>
      </c>
      <c r="I155" s="53"/>
      <c r="J155" s="776">
        <f t="shared" si="43"/>
        <v>1.3905346605727491</v>
      </c>
      <c r="K155" s="1210">
        <f>'Recycling - Case 2'!Z143</f>
        <v>3193.7786150741408</v>
      </c>
      <c r="L155" s="1209">
        <f>L154</f>
        <v>0.1</v>
      </c>
      <c r="M155" s="1209">
        <f>M154</f>
        <v>0.9</v>
      </c>
      <c r="N155" s="53">
        <f t="shared" si="44"/>
        <v>0</v>
      </c>
      <c r="O155" s="53">
        <f t="shared" si="44"/>
        <v>0</v>
      </c>
      <c r="P155" s="776">
        <f t="shared" si="45"/>
        <v>0.25550228920593132</v>
      </c>
      <c r="Q155" s="519">
        <f t="shared" si="37"/>
        <v>11.497603014266907</v>
      </c>
      <c r="R155" s="53"/>
      <c r="S155" s="1211">
        <f t="shared" si="38"/>
        <v>0.68985618085601441</v>
      </c>
      <c r="T155" s="1198">
        <f t="shared" si="39"/>
        <v>0.77051512645509768</v>
      </c>
      <c r="U155" s="1199">
        <f t="shared" si="39"/>
        <v>34.673180690479391</v>
      </c>
      <c r="V155" s="1199">
        <f t="shared" si="39"/>
        <v>0</v>
      </c>
      <c r="W155" s="1200">
        <f t="shared" si="39"/>
        <v>2.0803908414287635</v>
      </c>
    </row>
    <row r="156" spans="1:23">
      <c r="A156" s="123">
        <f>'Input data'!A124</f>
        <v>2024</v>
      </c>
      <c r="B156" s="1208">
        <f>'Recycling - Case 2'!AI104</f>
        <v>6437.6604656145792</v>
      </c>
      <c r="C156" s="1209">
        <f t="shared" ref="C156:D171" si="46">C155</f>
        <v>0.1</v>
      </c>
      <c r="D156" s="1209">
        <f t="shared" si="46"/>
        <v>0.9</v>
      </c>
      <c r="E156" s="53">
        <v>0</v>
      </c>
      <c r="F156" s="53">
        <v>0</v>
      </c>
      <c r="G156" s="776">
        <f t="shared" si="41"/>
        <v>0.51501283724916636</v>
      </c>
      <c r="H156" s="519">
        <f t="shared" si="42"/>
        <v>23.175577676212484</v>
      </c>
      <c r="I156" s="53"/>
      <c r="J156" s="776">
        <f t="shared" si="43"/>
        <v>1.3905346605727491</v>
      </c>
      <c r="K156" s="1210">
        <f>'Recycling - Case 2'!Z144</f>
        <v>3247.9631140768552</v>
      </c>
      <c r="L156" s="1209">
        <f t="shared" ref="L156:M171" si="47">L155</f>
        <v>0.1</v>
      </c>
      <c r="M156" s="1209">
        <f t="shared" si="47"/>
        <v>0.9</v>
      </c>
      <c r="N156" s="53">
        <f t="shared" si="44"/>
        <v>0</v>
      </c>
      <c r="O156" s="53">
        <f t="shared" si="44"/>
        <v>0</v>
      </c>
      <c r="P156" s="776">
        <f t="shared" si="45"/>
        <v>0.25983704912614847</v>
      </c>
      <c r="Q156" s="519">
        <f t="shared" si="37"/>
        <v>11.692667210676678</v>
      </c>
      <c r="R156" s="53"/>
      <c r="S156" s="1211">
        <f t="shared" si="38"/>
        <v>0.70156003264060074</v>
      </c>
      <c r="T156" s="1198">
        <f t="shared" si="39"/>
        <v>0.77484988637531482</v>
      </c>
      <c r="U156" s="1199">
        <f t="shared" si="39"/>
        <v>34.868244886889158</v>
      </c>
      <c r="V156" s="1199">
        <f t="shared" si="39"/>
        <v>0</v>
      </c>
      <c r="W156" s="1200">
        <f t="shared" si="39"/>
        <v>2.0920946932133497</v>
      </c>
    </row>
    <row r="157" spans="1:23">
      <c r="A157" s="123">
        <f>'Input data'!A125</f>
        <v>2025</v>
      </c>
      <c r="B157" s="1208">
        <f>'Recycling - Case 2'!AI105</f>
        <v>6437.6604656145792</v>
      </c>
      <c r="C157" s="1209">
        <f t="shared" si="46"/>
        <v>0.1</v>
      </c>
      <c r="D157" s="1209">
        <f t="shared" si="46"/>
        <v>0.9</v>
      </c>
      <c r="E157" s="53">
        <v>0</v>
      </c>
      <c r="F157" s="53">
        <v>0</v>
      </c>
      <c r="G157" s="776">
        <f t="shared" si="41"/>
        <v>0.51501283724916636</v>
      </c>
      <c r="H157" s="519">
        <f t="shared" si="42"/>
        <v>23.175577676212484</v>
      </c>
      <c r="I157" s="53"/>
      <c r="J157" s="776">
        <f t="shared" si="43"/>
        <v>1.3905346605727491</v>
      </c>
      <c r="K157" s="1210">
        <f>'Recycling - Case 2'!Z145</f>
        <v>3295.6393491706608</v>
      </c>
      <c r="L157" s="1209">
        <f t="shared" si="47"/>
        <v>0.1</v>
      </c>
      <c r="M157" s="1209">
        <f t="shared" si="47"/>
        <v>0.9</v>
      </c>
      <c r="N157" s="53">
        <f t="shared" si="44"/>
        <v>0</v>
      </c>
      <c r="O157" s="53">
        <f t="shared" si="44"/>
        <v>0</v>
      </c>
      <c r="P157" s="776">
        <f t="shared" si="45"/>
        <v>0.26365114793365291</v>
      </c>
      <c r="Q157" s="519">
        <f t="shared" si="37"/>
        <v>11.864301657014378</v>
      </c>
      <c r="R157" s="53"/>
      <c r="S157" s="1211">
        <f t="shared" si="38"/>
        <v>0.71185809942086264</v>
      </c>
      <c r="T157" s="1198">
        <f t="shared" si="39"/>
        <v>0.77866398518281921</v>
      </c>
      <c r="U157" s="1199">
        <f t="shared" si="39"/>
        <v>35.039879333226864</v>
      </c>
      <c r="V157" s="1199">
        <f t="shared" si="39"/>
        <v>0</v>
      </c>
      <c r="W157" s="1200">
        <f t="shared" si="39"/>
        <v>2.1023927599936116</v>
      </c>
    </row>
    <row r="158" spans="1:23">
      <c r="A158" s="123">
        <f>'Input data'!A126</f>
        <v>2026</v>
      </c>
      <c r="B158" s="1208">
        <f>'Recycling - Case 2'!AI106</f>
        <v>6437.6604656145792</v>
      </c>
      <c r="C158" s="1209">
        <f t="shared" si="46"/>
        <v>0.1</v>
      </c>
      <c r="D158" s="1209">
        <f t="shared" si="46"/>
        <v>0.9</v>
      </c>
      <c r="E158" s="53">
        <v>0</v>
      </c>
      <c r="F158" s="53">
        <v>0</v>
      </c>
      <c r="G158" s="776">
        <f t="shared" si="41"/>
        <v>0.51501283724916636</v>
      </c>
      <c r="H158" s="519">
        <f t="shared" si="42"/>
        <v>23.175577676212484</v>
      </c>
      <c r="I158" s="53"/>
      <c r="J158" s="776">
        <f t="shared" si="43"/>
        <v>1.3905346605727491</v>
      </c>
      <c r="K158" s="1210">
        <f>'Recycling - Case 2'!Z146</f>
        <v>3339.4558089478387</v>
      </c>
      <c r="L158" s="1209">
        <f t="shared" si="47"/>
        <v>0.1</v>
      </c>
      <c r="M158" s="1209">
        <f t="shared" si="47"/>
        <v>0.9</v>
      </c>
      <c r="N158" s="53">
        <f t="shared" si="44"/>
        <v>0</v>
      </c>
      <c r="O158" s="53">
        <f t="shared" si="44"/>
        <v>0</v>
      </c>
      <c r="P158" s="776">
        <f t="shared" si="45"/>
        <v>0.26715646471582716</v>
      </c>
      <c r="Q158" s="519">
        <f t="shared" si="37"/>
        <v>12.022040912212221</v>
      </c>
      <c r="R158" s="53"/>
      <c r="S158" s="1211">
        <f t="shared" si="38"/>
        <v>0.72132245473273315</v>
      </c>
      <c r="T158" s="1198">
        <f t="shared" si="39"/>
        <v>0.78216930196499357</v>
      </c>
      <c r="U158" s="1199">
        <f t="shared" si="39"/>
        <v>35.197618588424703</v>
      </c>
      <c r="V158" s="1199">
        <f t="shared" si="39"/>
        <v>0</v>
      </c>
      <c r="W158" s="1200">
        <f t="shared" si="39"/>
        <v>2.1118571153054821</v>
      </c>
    </row>
    <row r="159" spans="1:23">
      <c r="A159" s="123">
        <f>'Input data'!A127</f>
        <v>2027</v>
      </c>
      <c r="B159" s="1208">
        <f>'Recycling - Case 2'!AI107</f>
        <v>6437.6604656145792</v>
      </c>
      <c r="C159" s="1209">
        <f t="shared" si="46"/>
        <v>0.1</v>
      </c>
      <c r="D159" s="1209">
        <f t="shared" si="46"/>
        <v>0.9</v>
      </c>
      <c r="E159" s="53">
        <v>0</v>
      </c>
      <c r="F159" s="53">
        <v>0</v>
      </c>
      <c r="G159" s="776">
        <f t="shared" si="41"/>
        <v>0.51501283724916636</v>
      </c>
      <c r="H159" s="519">
        <f t="shared" si="42"/>
        <v>23.175577676212484</v>
      </c>
      <c r="I159" s="53"/>
      <c r="J159" s="776">
        <f t="shared" si="43"/>
        <v>1.3905346605727491</v>
      </c>
      <c r="K159" s="1210">
        <f>'Recycling - Case 2'!Z147</f>
        <v>3379.7386694672964</v>
      </c>
      <c r="L159" s="1209">
        <f t="shared" si="47"/>
        <v>0.1</v>
      </c>
      <c r="M159" s="1209">
        <f t="shared" si="47"/>
        <v>0.9</v>
      </c>
      <c r="N159" s="53">
        <f t="shared" si="44"/>
        <v>0</v>
      </c>
      <c r="O159" s="53">
        <f t="shared" si="44"/>
        <v>0</v>
      </c>
      <c r="P159" s="776">
        <f t="shared" si="45"/>
        <v>0.27037909355738377</v>
      </c>
      <c r="Q159" s="519">
        <f t="shared" si="37"/>
        <v>12.167059210082266</v>
      </c>
      <c r="R159" s="53"/>
      <c r="S159" s="1211">
        <f t="shared" si="38"/>
        <v>0.73002355260493612</v>
      </c>
      <c r="T159" s="1198">
        <f t="shared" si="39"/>
        <v>0.78539193080655012</v>
      </c>
      <c r="U159" s="1199">
        <f t="shared" si="39"/>
        <v>35.342636886294748</v>
      </c>
      <c r="V159" s="1199">
        <f t="shared" si="39"/>
        <v>0</v>
      </c>
      <c r="W159" s="1200">
        <f t="shared" si="39"/>
        <v>2.1205582131776852</v>
      </c>
    </row>
    <row r="160" spans="1:23">
      <c r="A160" s="123">
        <f>'Input data'!A128</f>
        <v>2028</v>
      </c>
      <c r="B160" s="1208">
        <f>'Recycling - Case 2'!AI108</f>
        <v>6437.6604656145792</v>
      </c>
      <c r="C160" s="1209">
        <f t="shared" si="46"/>
        <v>0.1</v>
      </c>
      <c r="D160" s="1209">
        <f t="shared" si="46"/>
        <v>0.9</v>
      </c>
      <c r="E160" s="53">
        <v>0</v>
      </c>
      <c r="F160" s="53">
        <v>0</v>
      </c>
      <c r="G160" s="776">
        <f t="shared" si="41"/>
        <v>0.51501283724916636</v>
      </c>
      <c r="H160" s="519">
        <f t="shared" si="42"/>
        <v>23.175577676212484</v>
      </c>
      <c r="I160" s="53"/>
      <c r="J160" s="776">
        <f t="shared" si="43"/>
        <v>1.3905346605727491</v>
      </c>
      <c r="K160" s="1210">
        <f>'Recycling - Case 2'!Z148</f>
        <v>3426.3883095687434</v>
      </c>
      <c r="L160" s="1209">
        <f t="shared" si="47"/>
        <v>0.1</v>
      </c>
      <c r="M160" s="1209">
        <f t="shared" si="47"/>
        <v>0.9</v>
      </c>
      <c r="N160" s="53">
        <f t="shared" si="44"/>
        <v>0</v>
      </c>
      <c r="O160" s="53">
        <f t="shared" si="44"/>
        <v>0</v>
      </c>
      <c r="P160" s="776">
        <f t="shared" si="45"/>
        <v>0.27411106476549951</v>
      </c>
      <c r="Q160" s="519">
        <f t="shared" si="37"/>
        <v>12.334997914447477</v>
      </c>
      <c r="R160" s="53"/>
      <c r="S160" s="1211">
        <f t="shared" si="38"/>
        <v>0.74009987486684858</v>
      </c>
      <c r="T160" s="1198">
        <f t="shared" si="39"/>
        <v>0.78912390201466587</v>
      </c>
      <c r="U160" s="1199">
        <f t="shared" si="39"/>
        <v>35.510575590659961</v>
      </c>
      <c r="V160" s="1199">
        <f t="shared" si="39"/>
        <v>0</v>
      </c>
      <c r="W160" s="1200">
        <f t="shared" si="39"/>
        <v>2.1306345354395977</v>
      </c>
    </row>
    <row r="161" spans="1:23">
      <c r="A161" s="123">
        <f>'Input data'!A129</f>
        <v>2029</v>
      </c>
      <c r="B161" s="1208">
        <f>'Recycling - Case 2'!AI109</f>
        <v>6437.6604656145792</v>
      </c>
      <c r="C161" s="1209">
        <f t="shared" si="46"/>
        <v>0.1</v>
      </c>
      <c r="D161" s="1209">
        <f t="shared" si="46"/>
        <v>0.9</v>
      </c>
      <c r="E161" s="53">
        <v>0</v>
      </c>
      <c r="F161" s="53">
        <v>0</v>
      </c>
      <c r="G161" s="776">
        <f t="shared" si="41"/>
        <v>0.51501283724916636</v>
      </c>
      <c r="H161" s="519">
        <f t="shared" si="42"/>
        <v>23.175577676212484</v>
      </c>
      <c r="I161" s="53"/>
      <c r="J161" s="776">
        <f t="shared" si="43"/>
        <v>1.3905346605727491</v>
      </c>
      <c r="K161" s="1210">
        <f>'Recycling - Case 2'!Z149</f>
        <v>3485.8660805942818</v>
      </c>
      <c r="L161" s="1209">
        <f t="shared" si="47"/>
        <v>0.1</v>
      </c>
      <c r="M161" s="1209">
        <f t="shared" si="47"/>
        <v>0.9</v>
      </c>
      <c r="N161" s="53">
        <f t="shared" si="44"/>
        <v>0</v>
      </c>
      <c r="O161" s="53">
        <f t="shared" si="44"/>
        <v>0</v>
      </c>
      <c r="P161" s="776">
        <f t="shared" si="45"/>
        <v>0.27886928644754261</v>
      </c>
      <c r="Q161" s="519">
        <f t="shared" si="37"/>
        <v>12.549117890139414</v>
      </c>
      <c r="R161" s="53"/>
      <c r="S161" s="1211">
        <f t="shared" si="38"/>
        <v>0.75294707340836486</v>
      </c>
      <c r="T161" s="1198">
        <f t="shared" si="39"/>
        <v>0.79388212369670896</v>
      </c>
      <c r="U161" s="1199">
        <f t="shared" si="39"/>
        <v>35.724695566351897</v>
      </c>
      <c r="V161" s="1199">
        <f t="shared" si="39"/>
        <v>0</v>
      </c>
      <c r="W161" s="1200">
        <f t="shared" si="39"/>
        <v>2.1434817339811141</v>
      </c>
    </row>
    <row r="162" spans="1:23">
      <c r="A162" s="123">
        <f>'Input data'!A130</f>
        <v>2030</v>
      </c>
      <c r="B162" s="1208">
        <f>'Recycling - Case 2'!AI110</f>
        <v>6437.6604656145792</v>
      </c>
      <c r="C162" s="1209">
        <f t="shared" si="46"/>
        <v>0.1</v>
      </c>
      <c r="D162" s="1209">
        <f t="shared" si="46"/>
        <v>0.9</v>
      </c>
      <c r="E162" s="53">
        <v>0</v>
      </c>
      <c r="F162" s="53">
        <v>0</v>
      </c>
      <c r="G162" s="776">
        <f t="shared" si="41"/>
        <v>0.51501283724916636</v>
      </c>
      <c r="H162" s="519">
        <f t="shared" si="42"/>
        <v>23.175577676212484</v>
      </c>
      <c r="I162" s="53"/>
      <c r="J162" s="776">
        <f t="shared" si="43"/>
        <v>1.3905346605727491</v>
      </c>
      <c r="K162" s="1210">
        <f>'Recycling - Case 2'!Z150</f>
        <v>3538.217660793739</v>
      </c>
      <c r="L162" s="1209">
        <f t="shared" si="47"/>
        <v>0.1</v>
      </c>
      <c r="M162" s="1209">
        <f t="shared" si="47"/>
        <v>0.9</v>
      </c>
      <c r="N162" s="53">
        <f t="shared" si="44"/>
        <v>0</v>
      </c>
      <c r="O162" s="53">
        <f t="shared" si="44"/>
        <v>0</v>
      </c>
      <c r="P162" s="776">
        <f t="shared" si="45"/>
        <v>0.28305741286349917</v>
      </c>
      <c r="Q162" s="519">
        <f t="shared" si="37"/>
        <v>12.737583578857461</v>
      </c>
      <c r="R162" s="53"/>
      <c r="S162" s="1211">
        <f t="shared" si="38"/>
        <v>0.76425501473144763</v>
      </c>
      <c r="T162" s="1198">
        <f t="shared" si="39"/>
        <v>0.79807025011266552</v>
      </c>
      <c r="U162" s="1199">
        <f t="shared" si="39"/>
        <v>35.913161255069944</v>
      </c>
      <c r="V162" s="1199">
        <f t="shared" si="39"/>
        <v>0</v>
      </c>
      <c r="W162" s="1200">
        <f t="shared" si="39"/>
        <v>2.1547896753041966</v>
      </c>
    </row>
    <row r="163" spans="1:23">
      <c r="A163" s="123">
        <f>'Input data'!A131</f>
        <v>2031</v>
      </c>
      <c r="B163" s="1208">
        <f>'Recycling - Case 2'!AI111</f>
        <v>6437.6604656145792</v>
      </c>
      <c r="C163" s="1209">
        <f t="shared" si="46"/>
        <v>0.1</v>
      </c>
      <c r="D163" s="1209">
        <f t="shared" si="46"/>
        <v>0.9</v>
      </c>
      <c r="E163" s="53">
        <v>0</v>
      </c>
      <c r="F163" s="53">
        <v>0</v>
      </c>
      <c r="G163" s="776">
        <f t="shared" si="41"/>
        <v>0.51501283724916636</v>
      </c>
      <c r="H163" s="519">
        <f t="shared" si="42"/>
        <v>23.175577676212484</v>
      </c>
      <c r="I163" s="53"/>
      <c r="J163" s="776">
        <f t="shared" si="43"/>
        <v>1.3905346605727491</v>
      </c>
      <c r="K163" s="1210">
        <f>'Recycling - Case 2'!Z151</f>
        <v>3504.1852978367515</v>
      </c>
      <c r="L163" s="1209">
        <f t="shared" si="47"/>
        <v>0.1</v>
      </c>
      <c r="M163" s="1209">
        <f t="shared" si="47"/>
        <v>0.9</v>
      </c>
      <c r="N163" s="53">
        <f t="shared" si="44"/>
        <v>0</v>
      </c>
      <c r="O163" s="53">
        <f t="shared" si="44"/>
        <v>0</v>
      </c>
      <c r="P163" s="776">
        <f t="shared" si="45"/>
        <v>0.28033482382694019</v>
      </c>
      <c r="Q163" s="519">
        <f t="shared" si="37"/>
        <v>12.615067072212305</v>
      </c>
      <c r="R163" s="53"/>
      <c r="S163" s="1211">
        <f t="shared" si="38"/>
        <v>0.75690402433273829</v>
      </c>
      <c r="T163" s="1198">
        <f t="shared" si="39"/>
        <v>0.79534766107610655</v>
      </c>
      <c r="U163" s="1199">
        <f t="shared" si="39"/>
        <v>35.790644748424789</v>
      </c>
      <c r="V163" s="1199">
        <f t="shared" si="39"/>
        <v>0</v>
      </c>
      <c r="W163" s="1200">
        <f t="shared" si="39"/>
        <v>2.1474386849054872</v>
      </c>
    </row>
    <row r="164" spans="1:23">
      <c r="A164" s="123">
        <f>'Input data'!A132</f>
        <v>2032</v>
      </c>
      <c r="B164" s="1208">
        <f>'Recycling - Case 2'!AI112</f>
        <v>6437.6604656145792</v>
      </c>
      <c r="C164" s="1209">
        <f t="shared" si="46"/>
        <v>0.1</v>
      </c>
      <c r="D164" s="1209">
        <f t="shared" si="46"/>
        <v>0.9</v>
      </c>
      <c r="E164" s="53">
        <v>0</v>
      </c>
      <c r="F164" s="53">
        <v>0</v>
      </c>
      <c r="G164" s="776">
        <f t="shared" si="41"/>
        <v>0.51501283724916636</v>
      </c>
      <c r="H164" s="519">
        <f t="shared" si="42"/>
        <v>23.175577676212484</v>
      </c>
      <c r="I164" s="53"/>
      <c r="J164" s="776">
        <f t="shared" si="43"/>
        <v>1.3905346605727491</v>
      </c>
      <c r="K164" s="1210">
        <f>'Recycling - Case 2'!Z152</f>
        <v>3598.6028123457536</v>
      </c>
      <c r="L164" s="1209">
        <f t="shared" si="47"/>
        <v>0.1</v>
      </c>
      <c r="M164" s="1209">
        <f t="shared" si="47"/>
        <v>0.9</v>
      </c>
      <c r="N164" s="53">
        <f t="shared" si="44"/>
        <v>0</v>
      </c>
      <c r="O164" s="53">
        <f t="shared" si="44"/>
        <v>0</v>
      </c>
      <c r="P164" s="776">
        <f t="shared" si="45"/>
        <v>0.28788822498766037</v>
      </c>
      <c r="Q164" s="519">
        <f t="shared" si="37"/>
        <v>12.954970124444714</v>
      </c>
      <c r="R164" s="53"/>
      <c r="S164" s="1211">
        <f t="shared" si="38"/>
        <v>0.77729820746668277</v>
      </c>
      <c r="T164" s="1198">
        <f t="shared" si="39"/>
        <v>0.80290106223682667</v>
      </c>
      <c r="U164" s="1199">
        <f t="shared" si="39"/>
        <v>36.130547800657197</v>
      </c>
      <c r="V164" s="1199">
        <f t="shared" si="39"/>
        <v>0</v>
      </c>
      <c r="W164" s="1200">
        <f t="shared" si="39"/>
        <v>2.1678328680394321</v>
      </c>
    </row>
    <row r="165" spans="1:23">
      <c r="A165" s="123">
        <f>'Input data'!A133</f>
        <v>2033</v>
      </c>
      <c r="B165" s="1208">
        <f>'Recycling - Case 2'!AI113</f>
        <v>6437.6604656145792</v>
      </c>
      <c r="C165" s="1209">
        <f t="shared" si="46"/>
        <v>0.1</v>
      </c>
      <c r="D165" s="1209">
        <f t="shared" si="46"/>
        <v>0.9</v>
      </c>
      <c r="E165" s="53">
        <v>0</v>
      </c>
      <c r="F165" s="53">
        <v>0</v>
      </c>
      <c r="G165" s="776">
        <f t="shared" si="41"/>
        <v>0.51501283724916636</v>
      </c>
      <c r="H165" s="519">
        <f t="shared" si="42"/>
        <v>23.175577676212484</v>
      </c>
      <c r="I165" s="53"/>
      <c r="J165" s="776">
        <f t="shared" si="43"/>
        <v>1.3905346605727491</v>
      </c>
      <c r="K165" s="1210">
        <f>'Recycling - Case 2'!Z153</f>
        <v>3689.9033028722483</v>
      </c>
      <c r="L165" s="1209">
        <f t="shared" si="47"/>
        <v>0.1</v>
      </c>
      <c r="M165" s="1209">
        <f t="shared" si="47"/>
        <v>0.9</v>
      </c>
      <c r="N165" s="53">
        <f t="shared" si="44"/>
        <v>0</v>
      </c>
      <c r="O165" s="53">
        <f t="shared" si="44"/>
        <v>0</v>
      </c>
      <c r="P165" s="776">
        <f t="shared" si="45"/>
        <v>0.29519226422977995</v>
      </c>
      <c r="Q165" s="519">
        <f t="shared" si="37"/>
        <v>13.283651890340094</v>
      </c>
      <c r="R165" s="53"/>
      <c r="S165" s="1211">
        <f t="shared" si="38"/>
        <v>0.79701911342040554</v>
      </c>
      <c r="T165" s="1198">
        <f t="shared" si="39"/>
        <v>0.81020510147894631</v>
      </c>
      <c r="U165" s="1199">
        <f t="shared" si="39"/>
        <v>36.45922956655258</v>
      </c>
      <c r="V165" s="1199">
        <f t="shared" si="39"/>
        <v>0</v>
      </c>
      <c r="W165" s="1200">
        <f t="shared" si="39"/>
        <v>2.1875537739931548</v>
      </c>
    </row>
    <row r="166" spans="1:23">
      <c r="A166" s="123">
        <f>'Input data'!A134</f>
        <v>2034</v>
      </c>
      <c r="B166" s="1208">
        <f>'Recycling - Case 2'!AI114</f>
        <v>6437.6604656145792</v>
      </c>
      <c r="C166" s="1209">
        <f t="shared" si="46"/>
        <v>0.1</v>
      </c>
      <c r="D166" s="1209">
        <f t="shared" si="46"/>
        <v>0.9</v>
      </c>
      <c r="E166" s="53">
        <v>0</v>
      </c>
      <c r="F166" s="53">
        <v>0</v>
      </c>
      <c r="G166" s="776">
        <f t="shared" si="41"/>
        <v>0.51501283724916636</v>
      </c>
      <c r="H166" s="519">
        <f t="shared" si="42"/>
        <v>23.175577676212484</v>
      </c>
      <c r="I166" s="53"/>
      <c r="J166" s="776">
        <f t="shared" si="43"/>
        <v>1.3905346605727491</v>
      </c>
      <c r="K166" s="1210">
        <f>'Recycling - Case 2'!Z154</f>
        <v>3802.1747903841533</v>
      </c>
      <c r="L166" s="1209">
        <f t="shared" si="47"/>
        <v>0.1</v>
      </c>
      <c r="M166" s="1209">
        <f t="shared" si="47"/>
        <v>0.9</v>
      </c>
      <c r="N166" s="53">
        <f t="shared" si="44"/>
        <v>0</v>
      </c>
      <c r="O166" s="53">
        <f t="shared" si="44"/>
        <v>0</v>
      </c>
      <c r="P166" s="776">
        <f t="shared" si="45"/>
        <v>0.30417398323073236</v>
      </c>
      <c r="Q166" s="519">
        <f t="shared" si="37"/>
        <v>13.687829245382952</v>
      </c>
      <c r="R166" s="53"/>
      <c r="S166" s="1211">
        <f t="shared" si="38"/>
        <v>0.82126975472297714</v>
      </c>
      <c r="T166" s="1198">
        <f t="shared" si="39"/>
        <v>0.81918682047989866</v>
      </c>
      <c r="U166" s="1199">
        <f t="shared" si="39"/>
        <v>36.863406921595434</v>
      </c>
      <c r="V166" s="1199">
        <f t="shared" si="39"/>
        <v>0</v>
      </c>
      <c r="W166" s="1200">
        <f t="shared" si="39"/>
        <v>2.2118044152957261</v>
      </c>
    </row>
    <row r="167" spans="1:23">
      <c r="A167" s="123">
        <f>'Input data'!A135</f>
        <v>2035</v>
      </c>
      <c r="B167" s="1208">
        <f>'Recycling - Case 2'!AI115</f>
        <v>6437.6604656145792</v>
      </c>
      <c r="C167" s="1209">
        <f t="shared" si="46"/>
        <v>0.1</v>
      </c>
      <c r="D167" s="1209">
        <f t="shared" si="46"/>
        <v>0.9</v>
      </c>
      <c r="E167" s="53">
        <v>0</v>
      </c>
      <c r="F167" s="53">
        <v>0</v>
      </c>
      <c r="G167" s="776">
        <f t="shared" si="41"/>
        <v>0.51501283724916636</v>
      </c>
      <c r="H167" s="519">
        <f t="shared" si="42"/>
        <v>23.175577676212484</v>
      </c>
      <c r="I167" s="53"/>
      <c r="J167" s="776">
        <f t="shared" si="43"/>
        <v>1.3905346605727491</v>
      </c>
      <c r="K167" s="1210">
        <f>'Recycling - Case 2'!Z155</f>
        <v>3897.4519949695709</v>
      </c>
      <c r="L167" s="1209">
        <f t="shared" si="47"/>
        <v>0.1</v>
      </c>
      <c r="M167" s="1209">
        <f t="shared" si="47"/>
        <v>0.9</v>
      </c>
      <c r="N167" s="53">
        <f t="shared" ref="N167:O182" si="48">N165</f>
        <v>0</v>
      </c>
      <c r="O167" s="53">
        <f t="shared" si="48"/>
        <v>0</v>
      </c>
      <c r="P167" s="776">
        <f t="shared" si="45"/>
        <v>0.31179615959756574</v>
      </c>
      <c r="Q167" s="519">
        <f t="shared" si="37"/>
        <v>14.030827181890455</v>
      </c>
      <c r="R167" s="53"/>
      <c r="S167" s="1211">
        <f t="shared" si="38"/>
        <v>0.84184963091342724</v>
      </c>
      <c r="T167" s="1198">
        <f t="shared" si="39"/>
        <v>0.82680899684673204</v>
      </c>
      <c r="U167" s="1199">
        <f t="shared" si="39"/>
        <v>37.206404858102943</v>
      </c>
      <c r="V167" s="1199">
        <f t="shared" si="39"/>
        <v>0</v>
      </c>
      <c r="W167" s="1200">
        <f t="shared" si="39"/>
        <v>2.2323842914861762</v>
      </c>
    </row>
    <row r="168" spans="1:23">
      <c r="A168" s="123">
        <f>'Input data'!A136</f>
        <v>2036</v>
      </c>
      <c r="B168" s="1208">
        <f>'Recycling - Case 2'!AI116</f>
        <v>6437.6604656145792</v>
      </c>
      <c r="C168" s="1209">
        <f t="shared" si="46"/>
        <v>0.1</v>
      </c>
      <c r="D168" s="1209">
        <f t="shared" si="46"/>
        <v>0.9</v>
      </c>
      <c r="E168" s="53">
        <v>0</v>
      </c>
      <c r="F168" s="53">
        <v>0</v>
      </c>
      <c r="G168" s="776">
        <f t="shared" si="41"/>
        <v>0.51501283724916636</v>
      </c>
      <c r="H168" s="519">
        <f t="shared" si="42"/>
        <v>23.175577676212484</v>
      </c>
      <c r="I168" s="53"/>
      <c r="J168" s="776">
        <f t="shared" si="43"/>
        <v>1.3905346605727491</v>
      </c>
      <c r="K168" s="1210">
        <f>'Recycling - Case 2'!Z156</f>
        <v>3992.1553192580318</v>
      </c>
      <c r="L168" s="1209">
        <f t="shared" si="47"/>
        <v>0.1</v>
      </c>
      <c r="M168" s="1209">
        <f t="shared" si="47"/>
        <v>0.9</v>
      </c>
      <c r="N168" s="53">
        <f t="shared" si="48"/>
        <v>0</v>
      </c>
      <c r="O168" s="53">
        <f t="shared" si="48"/>
        <v>0</v>
      </c>
      <c r="P168" s="776">
        <f t="shared" si="45"/>
        <v>0.3193724255406426</v>
      </c>
      <c r="Q168" s="519">
        <f t="shared" si="37"/>
        <v>14.371759149328915</v>
      </c>
      <c r="R168" s="53"/>
      <c r="S168" s="1211">
        <f t="shared" si="38"/>
        <v>0.86230554895973488</v>
      </c>
      <c r="T168" s="1198">
        <f t="shared" si="39"/>
        <v>0.83438526278980896</v>
      </c>
      <c r="U168" s="1199">
        <f t="shared" si="39"/>
        <v>37.5473368255414</v>
      </c>
      <c r="V168" s="1199">
        <f t="shared" si="39"/>
        <v>0</v>
      </c>
      <c r="W168" s="1200">
        <f t="shared" si="39"/>
        <v>2.2528402095324838</v>
      </c>
    </row>
    <row r="169" spans="1:23">
      <c r="A169" s="123">
        <f>'Input data'!A137</f>
        <v>2037</v>
      </c>
      <c r="B169" s="1208">
        <f>'Recycling - Case 2'!AI117</f>
        <v>6437.6604656145792</v>
      </c>
      <c r="C169" s="1209">
        <f t="shared" si="46"/>
        <v>0.1</v>
      </c>
      <c r="D169" s="1209">
        <f t="shared" si="46"/>
        <v>0.9</v>
      </c>
      <c r="E169" s="53">
        <v>0</v>
      </c>
      <c r="F169" s="53">
        <v>0</v>
      </c>
      <c r="G169" s="776">
        <f t="shared" si="41"/>
        <v>0.51501283724916636</v>
      </c>
      <c r="H169" s="519">
        <f t="shared" si="42"/>
        <v>23.175577676212484</v>
      </c>
      <c r="I169" s="53"/>
      <c r="J169" s="776">
        <f t="shared" si="43"/>
        <v>1.3905346605727491</v>
      </c>
      <c r="K169" s="1210">
        <f>'Recycling - Case 2'!Z157</f>
        <v>4095.1250637445028</v>
      </c>
      <c r="L169" s="1209">
        <f t="shared" si="47"/>
        <v>0.1</v>
      </c>
      <c r="M169" s="1209">
        <f t="shared" si="47"/>
        <v>0.9</v>
      </c>
      <c r="N169" s="53">
        <f t="shared" si="48"/>
        <v>0</v>
      </c>
      <c r="O169" s="53">
        <f t="shared" si="48"/>
        <v>0</v>
      </c>
      <c r="P169" s="776">
        <f t="shared" si="45"/>
        <v>0.32761000509956029</v>
      </c>
      <c r="Q169" s="519">
        <f t="shared" si="37"/>
        <v>14.742450229480209</v>
      </c>
      <c r="R169" s="53"/>
      <c r="S169" s="1211">
        <f t="shared" si="38"/>
        <v>0.88454701376881262</v>
      </c>
      <c r="T169" s="1198">
        <f t="shared" si="39"/>
        <v>0.84262284234872664</v>
      </c>
      <c r="U169" s="1199">
        <f t="shared" si="39"/>
        <v>37.918027905692696</v>
      </c>
      <c r="V169" s="1199">
        <f t="shared" si="39"/>
        <v>0</v>
      </c>
      <c r="W169" s="1200">
        <f t="shared" si="39"/>
        <v>2.2750816743415618</v>
      </c>
    </row>
    <row r="170" spans="1:23">
      <c r="A170" s="123">
        <f>'Input data'!A138</f>
        <v>2038</v>
      </c>
      <c r="B170" s="1208">
        <f>'Recycling - Case 2'!AI118</f>
        <v>6437.6604656145792</v>
      </c>
      <c r="C170" s="1209">
        <f t="shared" si="46"/>
        <v>0.1</v>
      </c>
      <c r="D170" s="1209">
        <f t="shared" si="46"/>
        <v>0.9</v>
      </c>
      <c r="E170" s="53">
        <v>0</v>
      </c>
      <c r="F170" s="53">
        <v>0</v>
      </c>
      <c r="G170" s="776">
        <f t="shared" si="41"/>
        <v>0.51501283724916636</v>
      </c>
      <c r="H170" s="519">
        <f t="shared" si="42"/>
        <v>23.175577676212484</v>
      </c>
      <c r="I170" s="53"/>
      <c r="J170" s="776">
        <f t="shared" si="43"/>
        <v>1.3905346605727491</v>
      </c>
      <c r="K170" s="1210">
        <f>'Recycling - Case 2'!Z158</f>
        <v>4195.0479450616976</v>
      </c>
      <c r="L170" s="1209">
        <f t="shared" si="47"/>
        <v>0.1</v>
      </c>
      <c r="M170" s="1209">
        <f t="shared" si="47"/>
        <v>0.9</v>
      </c>
      <c r="N170" s="53">
        <f t="shared" si="48"/>
        <v>0</v>
      </c>
      <c r="O170" s="53">
        <f t="shared" si="48"/>
        <v>0</v>
      </c>
      <c r="P170" s="776">
        <f t="shared" si="45"/>
        <v>0.33560383560493584</v>
      </c>
      <c r="Q170" s="519">
        <f t="shared" si="37"/>
        <v>15.102172602222112</v>
      </c>
      <c r="R170" s="53"/>
      <c r="S170" s="1211">
        <f t="shared" si="38"/>
        <v>0.90613035613332671</v>
      </c>
      <c r="T170" s="1198">
        <f t="shared" si="39"/>
        <v>0.85061667285410225</v>
      </c>
      <c r="U170" s="1199">
        <f t="shared" si="39"/>
        <v>38.277750278434596</v>
      </c>
      <c r="V170" s="1199">
        <f t="shared" si="39"/>
        <v>0</v>
      </c>
      <c r="W170" s="1200">
        <f t="shared" si="39"/>
        <v>2.2966650167060756</v>
      </c>
    </row>
    <row r="171" spans="1:23">
      <c r="A171" s="123">
        <f>'Input data'!A139</f>
        <v>2039</v>
      </c>
      <c r="B171" s="1208">
        <f>'Recycling - Case 2'!AI119</f>
        <v>6437.6604656145792</v>
      </c>
      <c r="C171" s="1209">
        <f t="shared" si="46"/>
        <v>0.1</v>
      </c>
      <c r="D171" s="1209">
        <f t="shared" si="46"/>
        <v>0.9</v>
      </c>
      <c r="E171" s="53">
        <v>0</v>
      </c>
      <c r="F171" s="53">
        <v>0</v>
      </c>
      <c r="G171" s="776">
        <f t="shared" si="41"/>
        <v>0.51501283724916636</v>
      </c>
      <c r="H171" s="519">
        <f t="shared" si="42"/>
        <v>23.175577676212484</v>
      </c>
      <c r="I171" s="53"/>
      <c r="J171" s="776">
        <f t="shared" si="43"/>
        <v>1.3905346605727491</v>
      </c>
      <c r="K171" s="1210">
        <f>'Recycling - Case 2'!Z159</f>
        <v>4297.1410898359891</v>
      </c>
      <c r="L171" s="1209">
        <f t="shared" si="47"/>
        <v>0.1</v>
      </c>
      <c r="M171" s="1209">
        <f t="shared" si="47"/>
        <v>0.9</v>
      </c>
      <c r="N171" s="53">
        <f t="shared" si="48"/>
        <v>0</v>
      </c>
      <c r="O171" s="53">
        <f t="shared" si="48"/>
        <v>0</v>
      </c>
      <c r="P171" s="776">
        <f t="shared" si="45"/>
        <v>0.34377128718687922</v>
      </c>
      <c r="Q171" s="519">
        <f t="shared" si="37"/>
        <v>15.469707923409562</v>
      </c>
      <c r="R171" s="53"/>
      <c r="S171" s="1211">
        <f t="shared" si="38"/>
        <v>0.92818247540457366</v>
      </c>
      <c r="T171" s="1198">
        <f t="shared" si="39"/>
        <v>0.85878412443604557</v>
      </c>
      <c r="U171" s="1199">
        <f t="shared" si="39"/>
        <v>38.645285599622042</v>
      </c>
      <c r="V171" s="1199">
        <f t="shared" si="39"/>
        <v>0</v>
      </c>
      <c r="W171" s="1200">
        <f t="shared" si="39"/>
        <v>2.3187171359773227</v>
      </c>
    </row>
    <row r="172" spans="1:23">
      <c r="A172" s="123">
        <f>'Input data'!A140</f>
        <v>2040</v>
      </c>
      <c r="B172" s="1208">
        <f>'Recycling - Case 2'!AI120</f>
        <v>6437.6604656145792</v>
      </c>
      <c r="C172" s="1209">
        <f t="shared" ref="C172:D182" si="49">C171</f>
        <v>0.1</v>
      </c>
      <c r="D172" s="1209">
        <f t="shared" si="49"/>
        <v>0.9</v>
      </c>
      <c r="E172" s="53">
        <v>0</v>
      </c>
      <c r="F172" s="53">
        <v>0</v>
      </c>
      <c r="G172" s="776">
        <f t="shared" si="41"/>
        <v>0.51501283724916636</v>
      </c>
      <c r="H172" s="519">
        <f t="shared" si="42"/>
        <v>23.175577676212484</v>
      </c>
      <c r="I172" s="53"/>
      <c r="J172" s="776">
        <f t="shared" si="43"/>
        <v>1.3905346605727491</v>
      </c>
      <c r="K172" s="1210">
        <f>'Recycling - Case 2'!Z160</f>
        <v>4400.5229525333853</v>
      </c>
      <c r="L172" s="1209">
        <f t="shared" ref="L172:M182" si="50">L171</f>
        <v>0.1</v>
      </c>
      <c r="M172" s="1209">
        <f t="shared" si="50"/>
        <v>0.9</v>
      </c>
      <c r="N172" s="53">
        <f t="shared" si="48"/>
        <v>0</v>
      </c>
      <c r="O172" s="53">
        <f t="shared" si="48"/>
        <v>0</v>
      </c>
      <c r="P172" s="776">
        <f t="shared" si="45"/>
        <v>0.35204183620267088</v>
      </c>
      <c r="Q172" s="519">
        <f t="shared" si="37"/>
        <v>15.841882629120187</v>
      </c>
      <c r="R172" s="53"/>
      <c r="S172" s="1211">
        <f t="shared" si="38"/>
        <v>0.95051295774721123</v>
      </c>
      <c r="T172" s="1198">
        <f t="shared" si="39"/>
        <v>0.86705467345183718</v>
      </c>
      <c r="U172" s="1199">
        <f t="shared" si="39"/>
        <v>39.017460305332669</v>
      </c>
      <c r="V172" s="1199">
        <f t="shared" si="39"/>
        <v>0</v>
      </c>
      <c r="W172" s="1200">
        <f t="shared" si="39"/>
        <v>2.3410476183199602</v>
      </c>
    </row>
    <row r="173" spans="1:23">
      <c r="A173" s="123">
        <f>'Input data'!A141</f>
        <v>2041</v>
      </c>
      <c r="B173" s="1208">
        <f>'Recycling - Case 2'!AI121</f>
        <v>6437.6604656145792</v>
      </c>
      <c r="C173" s="1209">
        <f t="shared" si="49"/>
        <v>0.1</v>
      </c>
      <c r="D173" s="1209">
        <f t="shared" si="49"/>
        <v>0.9</v>
      </c>
      <c r="E173" s="53">
        <v>0</v>
      </c>
      <c r="F173" s="53">
        <v>0</v>
      </c>
      <c r="G173" s="776">
        <f t="shared" si="41"/>
        <v>0.51501283724916636</v>
      </c>
      <c r="H173" s="519">
        <f t="shared" si="42"/>
        <v>23.175577676212484</v>
      </c>
      <c r="I173" s="53"/>
      <c r="J173" s="776">
        <f t="shared" si="43"/>
        <v>1.3905346605727491</v>
      </c>
      <c r="K173" s="1210">
        <f>'Recycling - Case 2'!Z161</f>
        <v>4514.6270989529849</v>
      </c>
      <c r="L173" s="1209">
        <f t="shared" si="50"/>
        <v>0.1</v>
      </c>
      <c r="M173" s="1209">
        <f t="shared" si="50"/>
        <v>0.9</v>
      </c>
      <c r="N173" s="53">
        <f t="shared" si="48"/>
        <v>0</v>
      </c>
      <c r="O173" s="53">
        <f t="shared" si="48"/>
        <v>0</v>
      </c>
      <c r="P173" s="776">
        <f t="shared" si="45"/>
        <v>0.3611701679162389</v>
      </c>
      <c r="Q173" s="519">
        <f t="shared" si="37"/>
        <v>16.252657556230748</v>
      </c>
      <c r="R173" s="53"/>
      <c r="S173" s="1211">
        <f t="shared" si="38"/>
        <v>0.97515945337384469</v>
      </c>
      <c r="T173" s="1198">
        <f t="shared" si="39"/>
        <v>0.87618300516540526</v>
      </c>
      <c r="U173" s="1199">
        <f t="shared" si="39"/>
        <v>39.428235232443228</v>
      </c>
      <c r="V173" s="1199">
        <f t="shared" si="39"/>
        <v>0</v>
      </c>
      <c r="W173" s="1200">
        <f t="shared" si="39"/>
        <v>2.3656941139465939</v>
      </c>
    </row>
    <row r="174" spans="1:23">
      <c r="A174" s="123">
        <f>'Input data'!A142</f>
        <v>2042</v>
      </c>
      <c r="B174" s="1208">
        <f>'Recycling - Case 2'!AI122</f>
        <v>6437.6604656145792</v>
      </c>
      <c r="C174" s="1209">
        <f t="shared" si="49"/>
        <v>0.1</v>
      </c>
      <c r="D174" s="1209">
        <f t="shared" si="49"/>
        <v>0.9</v>
      </c>
      <c r="E174" s="53">
        <v>0</v>
      </c>
      <c r="F174" s="53">
        <v>0</v>
      </c>
      <c r="G174" s="776">
        <f t="shared" si="41"/>
        <v>0.51501283724916636</v>
      </c>
      <c r="H174" s="519">
        <f t="shared" si="42"/>
        <v>23.175577676212484</v>
      </c>
      <c r="I174" s="53"/>
      <c r="J174" s="776">
        <f t="shared" si="43"/>
        <v>1.3905346605727491</v>
      </c>
      <c r="K174" s="1210">
        <f>'Recycling - Case 2'!Z162</f>
        <v>4619.8617671313086</v>
      </c>
      <c r="L174" s="1209">
        <f t="shared" si="50"/>
        <v>0.1</v>
      </c>
      <c r="M174" s="1209">
        <f t="shared" si="50"/>
        <v>0.9</v>
      </c>
      <c r="N174" s="53">
        <f t="shared" si="48"/>
        <v>0</v>
      </c>
      <c r="O174" s="53">
        <f t="shared" si="48"/>
        <v>0</v>
      </c>
      <c r="P174" s="776">
        <f t="shared" si="45"/>
        <v>0.36958894137050474</v>
      </c>
      <c r="Q174" s="519">
        <f t="shared" si="37"/>
        <v>16.631502361672712</v>
      </c>
      <c r="R174" s="53"/>
      <c r="S174" s="1211">
        <f t="shared" si="38"/>
        <v>0.99789014170036261</v>
      </c>
      <c r="T174" s="1198">
        <f t="shared" si="39"/>
        <v>0.88460177861967115</v>
      </c>
      <c r="U174" s="1199">
        <f t="shared" si="39"/>
        <v>39.8070800378852</v>
      </c>
      <c r="V174" s="1199">
        <f t="shared" si="39"/>
        <v>0</v>
      </c>
      <c r="W174" s="1200">
        <f t="shared" si="39"/>
        <v>2.3884248022731116</v>
      </c>
    </row>
    <row r="175" spans="1:23">
      <c r="A175" s="123">
        <f>'Input data'!A143</f>
        <v>2043</v>
      </c>
      <c r="B175" s="1208">
        <f>'Recycling - Case 2'!AI123</f>
        <v>6437.6604656145792</v>
      </c>
      <c r="C175" s="1209">
        <f t="shared" si="49"/>
        <v>0.1</v>
      </c>
      <c r="D175" s="1209">
        <f t="shared" si="49"/>
        <v>0.9</v>
      </c>
      <c r="E175" s="53">
        <v>0</v>
      </c>
      <c r="F175" s="53">
        <v>0</v>
      </c>
      <c r="G175" s="776">
        <f t="shared" si="41"/>
        <v>0.51501283724916636</v>
      </c>
      <c r="H175" s="519">
        <f t="shared" si="42"/>
        <v>23.175577676212484</v>
      </c>
      <c r="I175" s="53"/>
      <c r="J175" s="776">
        <f t="shared" si="43"/>
        <v>1.3905346605727491</v>
      </c>
      <c r="K175" s="1210">
        <f>'Recycling - Case 2'!Z163</f>
        <v>4725.2965994162041</v>
      </c>
      <c r="L175" s="1209">
        <f t="shared" si="50"/>
        <v>0.1</v>
      </c>
      <c r="M175" s="1209">
        <f t="shared" si="50"/>
        <v>0.9</v>
      </c>
      <c r="N175" s="53">
        <f t="shared" si="48"/>
        <v>0</v>
      </c>
      <c r="O175" s="53">
        <f t="shared" si="48"/>
        <v>0</v>
      </c>
      <c r="P175" s="776">
        <f t="shared" si="45"/>
        <v>0.37802372795329642</v>
      </c>
      <c r="Q175" s="519">
        <f t="shared" si="37"/>
        <v>17.011067757898335</v>
      </c>
      <c r="R175" s="53"/>
      <c r="S175" s="1211">
        <f t="shared" si="38"/>
        <v>1.0206640654739001</v>
      </c>
      <c r="T175" s="1198">
        <f t="shared" si="39"/>
        <v>0.89303656520246277</v>
      </c>
      <c r="U175" s="1199">
        <f t="shared" si="39"/>
        <v>40.186645434110815</v>
      </c>
      <c r="V175" s="1199">
        <f t="shared" si="39"/>
        <v>0</v>
      </c>
      <c r="W175" s="1200">
        <f t="shared" si="39"/>
        <v>2.4111987260466492</v>
      </c>
    </row>
    <row r="176" spans="1:23">
      <c r="A176" s="123">
        <f>'Input data'!A144</f>
        <v>2044</v>
      </c>
      <c r="B176" s="1208">
        <f>'Recycling - Case 2'!AI124</f>
        <v>6437.6604656145792</v>
      </c>
      <c r="C176" s="1209">
        <f t="shared" si="49"/>
        <v>0.1</v>
      </c>
      <c r="D176" s="1209">
        <f t="shared" si="49"/>
        <v>0.9</v>
      </c>
      <c r="E176" s="53">
        <v>0</v>
      </c>
      <c r="F176" s="53">
        <v>0</v>
      </c>
      <c r="G176" s="776">
        <f t="shared" si="41"/>
        <v>0.51501283724916636</v>
      </c>
      <c r="H176" s="519">
        <f t="shared" si="42"/>
        <v>23.175577676212484</v>
      </c>
      <c r="I176" s="53"/>
      <c r="J176" s="776">
        <f t="shared" si="43"/>
        <v>1.3905346605727491</v>
      </c>
      <c r="K176" s="1210">
        <f>'Recycling - Case 2'!Z164</f>
        <v>4833.0377582933197</v>
      </c>
      <c r="L176" s="1209">
        <f t="shared" si="50"/>
        <v>0.1</v>
      </c>
      <c r="M176" s="1209">
        <f t="shared" si="50"/>
        <v>0.9</v>
      </c>
      <c r="N176" s="53">
        <f t="shared" si="48"/>
        <v>0</v>
      </c>
      <c r="O176" s="53">
        <f t="shared" si="48"/>
        <v>0</v>
      </c>
      <c r="P176" s="776">
        <f t="shared" si="45"/>
        <v>0.38664302066346568</v>
      </c>
      <c r="Q176" s="519">
        <f t="shared" si="37"/>
        <v>17.398935929855949</v>
      </c>
      <c r="R176" s="53"/>
      <c r="S176" s="1211">
        <f t="shared" si="38"/>
        <v>1.0439361557913571</v>
      </c>
      <c r="T176" s="1198">
        <f t="shared" si="39"/>
        <v>0.90165585791263203</v>
      </c>
      <c r="U176" s="1199">
        <f t="shared" si="39"/>
        <v>40.574513606068436</v>
      </c>
      <c r="V176" s="1199">
        <f t="shared" si="39"/>
        <v>0</v>
      </c>
      <c r="W176" s="1200">
        <f t="shared" si="39"/>
        <v>2.4344708163641062</v>
      </c>
    </row>
    <row r="177" spans="1:23">
      <c r="A177" s="123">
        <f>'Input data'!A145</f>
        <v>2045</v>
      </c>
      <c r="B177" s="1208">
        <f>'Recycling - Case 2'!AI125</f>
        <v>6437.6604656145792</v>
      </c>
      <c r="C177" s="1209">
        <f t="shared" si="49"/>
        <v>0.1</v>
      </c>
      <c r="D177" s="1209">
        <f t="shared" si="49"/>
        <v>0.9</v>
      </c>
      <c r="E177" s="53">
        <v>0</v>
      </c>
      <c r="F177" s="53">
        <v>0</v>
      </c>
      <c r="G177" s="776">
        <f t="shared" si="41"/>
        <v>0.51501283724916636</v>
      </c>
      <c r="H177" s="519">
        <f t="shared" si="42"/>
        <v>23.175577676212484</v>
      </c>
      <c r="I177" s="53"/>
      <c r="J177" s="776">
        <f t="shared" si="43"/>
        <v>1.3905346605727491</v>
      </c>
      <c r="K177" s="1210">
        <f>'Recycling - Case 2'!Z165</f>
        <v>4943.8418730466392</v>
      </c>
      <c r="L177" s="1209">
        <f t="shared" si="50"/>
        <v>0.1</v>
      </c>
      <c r="M177" s="1209">
        <f t="shared" si="50"/>
        <v>0.9</v>
      </c>
      <c r="N177" s="53">
        <f t="shared" si="48"/>
        <v>0</v>
      </c>
      <c r="O177" s="53">
        <f t="shared" si="48"/>
        <v>0</v>
      </c>
      <c r="P177" s="776">
        <f t="shared" si="45"/>
        <v>0.3955073498437312</v>
      </c>
      <c r="Q177" s="519">
        <f t="shared" si="37"/>
        <v>17.7978307429679</v>
      </c>
      <c r="R177" s="53"/>
      <c r="S177" s="1211">
        <f t="shared" si="38"/>
        <v>1.0678698445780739</v>
      </c>
      <c r="T177" s="1198">
        <f t="shared" si="39"/>
        <v>0.91052018709289761</v>
      </c>
      <c r="U177" s="1199">
        <f t="shared" si="39"/>
        <v>40.973408419180387</v>
      </c>
      <c r="V177" s="1199">
        <f t="shared" si="39"/>
        <v>0</v>
      </c>
      <c r="W177" s="1200">
        <f t="shared" si="39"/>
        <v>2.4584045051508232</v>
      </c>
    </row>
    <row r="178" spans="1:23">
      <c r="A178" s="123">
        <f>'Input data'!A146</f>
        <v>2046</v>
      </c>
      <c r="B178" s="1208">
        <f>'Recycling - Case 2'!AI126</f>
        <v>6437.6604656145792</v>
      </c>
      <c r="C178" s="1209">
        <f t="shared" si="49"/>
        <v>0.1</v>
      </c>
      <c r="D178" s="1209">
        <f t="shared" si="49"/>
        <v>0.9</v>
      </c>
      <c r="E178" s="53">
        <v>0</v>
      </c>
      <c r="F178" s="53">
        <v>0</v>
      </c>
      <c r="G178" s="776">
        <f t="shared" si="41"/>
        <v>0.51501283724916636</v>
      </c>
      <c r="H178" s="519">
        <f t="shared" si="42"/>
        <v>23.175577676212484</v>
      </c>
      <c r="I178" s="53"/>
      <c r="J178" s="776">
        <f t="shared" si="43"/>
        <v>1.3905346605727491</v>
      </c>
      <c r="K178" s="1210">
        <f>'Recycling - Case 2'!Z166</f>
        <v>5067.2658790898813</v>
      </c>
      <c r="L178" s="1209">
        <f t="shared" si="50"/>
        <v>0.1</v>
      </c>
      <c r="M178" s="1209">
        <f t="shared" si="50"/>
        <v>0.9</v>
      </c>
      <c r="N178" s="53">
        <f t="shared" si="48"/>
        <v>0</v>
      </c>
      <c r="O178" s="53">
        <f t="shared" si="48"/>
        <v>0</v>
      </c>
      <c r="P178" s="776">
        <f t="shared" si="45"/>
        <v>0.40538127032719057</v>
      </c>
      <c r="Q178" s="519">
        <f t="shared" si="37"/>
        <v>18.242157164723572</v>
      </c>
      <c r="R178" s="53"/>
      <c r="S178" s="1211">
        <f t="shared" si="38"/>
        <v>1.0945294298834145</v>
      </c>
      <c r="T178" s="1198">
        <f t="shared" si="39"/>
        <v>0.92039410757635687</v>
      </c>
      <c r="U178" s="1199">
        <f t="shared" si="39"/>
        <v>41.417734840936056</v>
      </c>
      <c r="V178" s="1199">
        <f t="shared" si="39"/>
        <v>0</v>
      </c>
      <c r="W178" s="1200">
        <f t="shared" si="39"/>
        <v>2.4850640904561638</v>
      </c>
    </row>
    <row r="179" spans="1:23">
      <c r="A179" s="123">
        <f>'Input data'!A147</f>
        <v>2047</v>
      </c>
      <c r="B179" s="1208">
        <f>'Recycling - Case 2'!AI127</f>
        <v>6437.6604656145792</v>
      </c>
      <c r="C179" s="1209">
        <f t="shared" si="49"/>
        <v>0.1</v>
      </c>
      <c r="D179" s="1209">
        <f t="shared" si="49"/>
        <v>0.9</v>
      </c>
      <c r="E179" s="53">
        <v>0</v>
      </c>
      <c r="F179" s="53">
        <v>0</v>
      </c>
      <c r="G179" s="776">
        <f t="shared" si="41"/>
        <v>0.51501283724916636</v>
      </c>
      <c r="H179" s="519">
        <f t="shared" si="42"/>
        <v>23.175577676212484</v>
      </c>
      <c r="I179" s="53"/>
      <c r="J179" s="776">
        <f t="shared" si="43"/>
        <v>1.3905346605727491</v>
      </c>
      <c r="K179" s="1210">
        <f>'Recycling - Case 2'!Z167</f>
        <v>5163.6864504210689</v>
      </c>
      <c r="L179" s="1209">
        <f t="shared" si="50"/>
        <v>0.1</v>
      </c>
      <c r="M179" s="1209">
        <f t="shared" si="50"/>
        <v>0.9</v>
      </c>
      <c r="N179" s="53">
        <f t="shared" si="48"/>
        <v>0</v>
      </c>
      <c r="O179" s="53">
        <f t="shared" si="48"/>
        <v>0</v>
      </c>
      <c r="P179" s="776">
        <f t="shared" si="45"/>
        <v>0.41309491603368559</v>
      </c>
      <c r="Q179" s="519">
        <f t="shared" si="37"/>
        <v>18.589271221515851</v>
      </c>
      <c r="R179" s="53"/>
      <c r="S179" s="1211">
        <f t="shared" si="38"/>
        <v>1.1153562732909508</v>
      </c>
      <c r="T179" s="1198">
        <f t="shared" si="39"/>
        <v>0.92810775328285189</v>
      </c>
      <c r="U179" s="1199">
        <f t="shared" si="39"/>
        <v>41.764848897728335</v>
      </c>
      <c r="V179" s="1199">
        <f t="shared" si="39"/>
        <v>0</v>
      </c>
      <c r="W179" s="1200">
        <f t="shared" si="39"/>
        <v>2.5058909338637001</v>
      </c>
    </row>
    <row r="180" spans="1:23">
      <c r="A180" s="123">
        <f>'Input data'!A148</f>
        <v>2048</v>
      </c>
      <c r="B180" s="1208">
        <f>'Recycling - Case 2'!AI128</f>
        <v>6437.6604656145792</v>
      </c>
      <c r="C180" s="1209">
        <f t="shared" si="49"/>
        <v>0.1</v>
      </c>
      <c r="D180" s="1209">
        <f t="shared" si="49"/>
        <v>0.9</v>
      </c>
      <c r="E180" s="53">
        <v>0</v>
      </c>
      <c r="F180" s="53">
        <v>0</v>
      </c>
      <c r="G180" s="776">
        <f t="shared" si="41"/>
        <v>0.51501283724916636</v>
      </c>
      <c r="H180" s="519">
        <f t="shared" si="42"/>
        <v>23.175577676212484</v>
      </c>
      <c r="I180" s="53"/>
      <c r="J180" s="776">
        <f t="shared" si="43"/>
        <v>1.3905346605727491</v>
      </c>
      <c r="K180" s="1210">
        <f>'Recycling - Case 2'!Z168</f>
        <v>5262.5257223033932</v>
      </c>
      <c r="L180" s="1209">
        <f t="shared" si="50"/>
        <v>0.1</v>
      </c>
      <c r="M180" s="1209">
        <f t="shared" si="50"/>
        <v>0.9</v>
      </c>
      <c r="N180" s="53">
        <f t="shared" si="48"/>
        <v>0</v>
      </c>
      <c r="O180" s="53">
        <f t="shared" si="48"/>
        <v>0</v>
      </c>
      <c r="P180" s="776">
        <f t="shared" si="45"/>
        <v>0.42100205778427152</v>
      </c>
      <c r="Q180" s="519">
        <f t="shared" si="37"/>
        <v>18.945092600292217</v>
      </c>
      <c r="R180" s="53"/>
      <c r="S180" s="1211">
        <f t="shared" si="38"/>
        <v>1.136705556017533</v>
      </c>
      <c r="T180" s="1198">
        <f t="shared" si="39"/>
        <v>0.93601489503343793</v>
      </c>
      <c r="U180" s="1199">
        <f t="shared" si="39"/>
        <v>42.120670276504697</v>
      </c>
      <c r="V180" s="1199">
        <f t="shared" si="39"/>
        <v>0</v>
      </c>
      <c r="W180" s="1200">
        <f t="shared" si="39"/>
        <v>2.5272402165902821</v>
      </c>
    </row>
    <row r="181" spans="1:23">
      <c r="A181" s="123">
        <f>'Input data'!A149</f>
        <v>2049</v>
      </c>
      <c r="B181" s="1208">
        <f>'Recycling - Case 2'!AI129</f>
        <v>6437.6604656145792</v>
      </c>
      <c r="C181" s="1209">
        <f t="shared" si="49"/>
        <v>0.1</v>
      </c>
      <c r="D181" s="1209">
        <f t="shared" si="49"/>
        <v>0.9</v>
      </c>
      <c r="E181" s="53">
        <v>0</v>
      </c>
      <c r="F181" s="53">
        <v>0</v>
      </c>
      <c r="G181" s="776">
        <f t="shared" si="41"/>
        <v>0.51501283724916636</v>
      </c>
      <c r="H181" s="519">
        <f t="shared" si="42"/>
        <v>23.175577676212484</v>
      </c>
      <c r="I181" s="53"/>
      <c r="J181" s="776">
        <f t="shared" si="43"/>
        <v>1.3905346605727491</v>
      </c>
      <c r="K181" s="1210">
        <f>'Recycling - Case 2'!Z169</f>
        <v>5358.4864389974309</v>
      </c>
      <c r="L181" s="1209">
        <f t="shared" si="50"/>
        <v>0.1</v>
      </c>
      <c r="M181" s="1209">
        <f t="shared" si="50"/>
        <v>0.9</v>
      </c>
      <c r="N181" s="53">
        <f t="shared" si="48"/>
        <v>0</v>
      </c>
      <c r="O181" s="53">
        <f t="shared" si="48"/>
        <v>0</v>
      </c>
      <c r="P181" s="776">
        <f t="shared" si="45"/>
        <v>0.42867891511979456</v>
      </c>
      <c r="Q181" s="519">
        <f t="shared" si="37"/>
        <v>19.29055118039075</v>
      </c>
      <c r="R181" s="53"/>
      <c r="S181" s="1211">
        <f t="shared" si="38"/>
        <v>1.1574330708234453</v>
      </c>
      <c r="T181" s="1198">
        <f t="shared" si="39"/>
        <v>0.94369175236896097</v>
      </c>
      <c r="U181" s="1199">
        <f t="shared" si="39"/>
        <v>42.466128856603234</v>
      </c>
      <c r="V181" s="1199">
        <f t="shared" si="39"/>
        <v>0</v>
      </c>
      <c r="W181" s="1200">
        <f t="shared" si="39"/>
        <v>2.5479677313961941</v>
      </c>
    </row>
    <row r="182" spans="1:23" ht="15.75" thickBot="1">
      <c r="A182" s="123">
        <f>'Input data'!A150</f>
        <v>2050</v>
      </c>
      <c r="B182" s="1208">
        <f>'Recycling - Case 2'!AI130</f>
        <v>6437.6604656145792</v>
      </c>
      <c r="C182" s="578">
        <f t="shared" si="49"/>
        <v>0.1</v>
      </c>
      <c r="D182" s="578">
        <f t="shared" si="49"/>
        <v>0.9</v>
      </c>
      <c r="E182" s="1212">
        <v>0</v>
      </c>
      <c r="F182" s="1212">
        <v>0</v>
      </c>
      <c r="G182" s="1213">
        <f t="shared" si="41"/>
        <v>0.51501283724916636</v>
      </c>
      <c r="H182" s="1144">
        <f t="shared" si="42"/>
        <v>23.175577676212484</v>
      </c>
      <c r="I182" s="1212"/>
      <c r="J182" s="1213">
        <f t="shared" si="43"/>
        <v>1.3905346605727491</v>
      </c>
      <c r="K182" s="1210">
        <f>'Recycling - Case 2'!Z170</f>
        <v>5457.3324760629976</v>
      </c>
      <c r="L182" s="578">
        <f t="shared" si="50"/>
        <v>0.1</v>
      </c>
      <c r="M182" s="578">
        <f t="shared" si="50"/>
        <v>0.9</v>
      </c>
      <c r="N182" s="1212">
        <f t="shared" si="48"/>
        <v>0</v>
      </c>
      <c r="O182" s="1212">
        <f t="shared" si="48"/>
        <v>0</v>
      </c>
      <c r="P182" s="1213">
        <f t="shared" si="45"/>
        <v>0.43658659808503991</v>
      </c>
      <c r="Q182" s="1144">
        <f t="shared" si="37"/>
        <v>19.646396913826791</v>
      </c>
      <c r="R182" s="1212"/>
      <c r="S182" s="1214">
        <f t="shared" si="38"/>
        <v>1.1787838148296075</v>
      </c>
      <c r="T182" s="1215">
        <f t="shared" si="39"/>
        <v>0.95159943533420632</v>
      </c>
      <c r="U182" s="1216">
        <f t="shared" si="39"/>
        <v>42.821974590039275</v>
      </c>
      <c r="V182" s="1216">
        <f t="shared" si="39"/>
        <v>0</v>
      </c>
      <c r="W182" s="1217">
        <f t="shared" si="39"/>
        <v>2.5693184754023566</v>
      </c>
    </row>
    <row r="183" spans="1:23">
      <c r="A183" s="1202" t="s">
        <v>649</v>
      </c>
      <c r="B183" s="1203"/>
      <c r="C183" s="1218"/>
      <c r="D183" s="1218"/>
      <c r="E183" s="1219"/>
      <c r="F183" s="1219"/>
      <c r="G183" s="1220"/>
      <c r="H183" s="1221"/>
      <c r="I183" s="1222"/>
      <c r="J183" s="1220"/>
      <c r="K183" s="1223"/>
      <c r="L183" s="1218"/>
      <c r="M183" s="1218"/>
      <c r="N183" s="1219"/>
      <c r="O183" s="1219"/>
      <c r="P183" s="1220"/>
      <c r="Q183" s="1221"/>
      <c r="R183" s="1219"/>
      <c r="S183" s="1224"/>
      <c r="T183" s="1194"/>
      <c r="U183" s="1195"/>
      <c r="V183" s="1195"/>
      <c r="W183" s="1196"/>
    </row>
    <row r="184" spans="1:23">
      <c r="A184" s="123">
        <f>'Input data'!A118</f>
        <v>2018</v>
      </c>
      <c r="B184" s="1208">
        <f>'Recycling - Case 2'!AI98</f>
        <v>3707.5235423427162</v>
      </c>
      <c r="C184" s="1209">
        <f>($C$188-$C$80)/($A$188-$A$80)+C80</f>
        <v>6.0000000000000005E-2</v>
      </c>
      <c r="D184" s="1209">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0">
        <f>'Recycling - Case 3'!Z138</f>
        <v>1789.9687605419947</v>
      </c>
      <c r="L184" s="1209">
        <f>($L$188-$L$80)/($A$188-$A$80)+L80</f>
        <v>0.1</v>
      </c>
      <c r="M184" s="1209">
        <f>1-L184</f>
        <v>0.9</v>
      </c>
      <c r="N184" s="53">
        <f>N148</f>
        <v>0</v>
      </c>
      <c r="O184" s="53">
        <f>O148</f>
        <v>0</v>
      </c>
      <c r="P184" s="776">
        <f t="shared" ref="P184:P216" si="54">L184*$D$5*K184/1000-N184</f>
        <v>0.14319750084335958</v>
      </c>
      <c r="Q184" s="519">
        <f t="shared" ref="Q184:Q216" si="55">M184*$D$4*K184/1000-O184</f>
        <v>6.4438875379511806</v>
      </c>
      <c r="R184" s="53"/>
      <c r="S184" s="1211">
        <f t="shared" ref="S184:S216" si="56">M184*$D$7*K184/1000</f>
        <v>0.38663325227707085</v>
      </c>
      <c r="T184" s="1198">
        <f t="shared" ref="T184:W216" si="57">G184+P184</f>
        <v>0.32115863087580998</v>
      </c>
      <c r="U184" s="1199">
        <f t="shared" si="57"/>
        <v>20.384176057159792</v>
      </c>
      <c r="V184" s="1199">
        <f t="shared" si="57"/>
        <v>0</v>
      </c>
      <c r="W184" s="1200">
        <f t="shared" si="57"/>
        <v>1.2230505634295874</v>
      </c>
    </row>
    <row r="185" spans="1:23">
      <c r="A185" s="123">
        <f>'Input data'!A119</f>
        <v>2019</v>
      </c>
      <c r="B185" s="1208">
        <f>'Recycling - Case 2'!AI99</f>
        <v>4010.8720893729233</v>
      </c>
      <c r="C185" s="1209">
        <f>($C$188-$C$80)/($A$188-$A$80)+C184</f>
        <v>7.0000000000000007E-2</v>
      </c>
      <c r="D185" s="1209">
        <f t="shared" ref="D185:D216" si="58">1-C185</f>
        <v>0.92999999999999994</v>
      </c>
      <c r="E185" s="53">
        <v>0</v>
      </c>
      <c r="F185" s="53">
        <v>0</v>
      </c>
      <c r="G185" s="776">
        <f t="shared" si="51"/>
        <v>0.22460883700488374</v>
      </c>
      <c r="H185" s="519">
        <f t="shared" si="52"/>
        <v>14.920444172467274</v>
      </c>
      <c r="I185" s="53"/>
      <c r="J185" s="776">
        <f t="shared" si="53"/>
        <v>0.89522665034803639</v>
      </c>
      <c r="K185" s="1210">
        <f>'Recycling - Case 3'!Z139</f>
        <v>2572.2972467623063</v>
      </c>
      <c r="L185" s="1209">
        <f>($L$188-$L$80)/($A$188-$A$80)+L184</f>
        <v>0.1</v>
      </c>
      <c r="M185" s="1209">
        <f t="shared" ref="M185:M216" si="59">1-L185</f>
        <v>0.9</v>
      </c>
      <c r="N185" s="53">
        <f t="shared" ref="N185:O200" si="60">N183</f>
        <v>0</v>
      </c>
      <c r="O185" s="53">
        <f t="shared" si="60"/>
        <v>0</v>
      </c>
      <c r="P185" s="776">
        <f t="shared" si="54"/>
        <v>0.20578377974098452</v>
      </c>
      <c r="Q185" s="519">
        <f t="shared" si="55"/>
        <v>9.2602700883443028</v>
      </c>
      <c r="R185" s="53"/>
      <c r="S185" s="1211">
        <f t="shared" si="56"/>
        <v>0.55561620530065814</v>
      </c>
      <c r="T185" s="1198">
        <f t="shared" si="57"/>
        <v>0.43039261674586826</v>
      </c>
      <c r="U185" s="1199">
        <f t="shared" si="57"/>
        <v>24.180714260811577</v>
      </c>
      <c r="V185" s="1199">
        <f t="shared" si="57"/>
        <v>0</v>
      </c>
      <c r="W185" s="1200">
        <f t="shared" si="57"/>
        <v>1.4508428556486945</v>
      </c>
    </row>
    <row r="186" spans="1:23">
      <c r="A186" s="123">
        <f>'Input data'!A120</f>
        <v>2020</v>
      </c>
      <c r="B186" s="1208">
        <f>'Recycling - Case 2'!AI100</f>
        <v>4617.5691834333375</v>
      </c>
      <c r="C186" s="1209">
        <f t="shared" ref="C186:C187" si="61">($C$188-$C$80)/($A$188-$A$80)+C185</f>
        <v>0.08</v>
      </c>
      <c r="D186" s="1209">
        <f t="shared" si="58"/>
        <v>0.92</v>
      </c>
      <c r="E186" s="53">
        <v>0</v>
      </c>
      <c r="F186" s="53">
        <v>0</v>
      </c>
      <c r="G186" s="776">
        <f t="shared" si="51"/>
        <v>0.29552442773973359</v>
      </c>
      <c r="H186" s="519">
        <f t="shared" si="52"/>
        <v>16.992654595034679</v>
      </c>
      <c r="I186" s="53"/>
      <c r="J186" s="776">
        <f t="shared" si="53"/>
        <v>1.0195592757020808</v>
      </c>
      <c r="K186" s="1210">
        <f>'Recycling - Case 3'!Z140</f>
        <v>2567.1213118810192</v>
      </c>
      <c r="L186" s="1209">
        <f t="shared" ref="L186:L187" si="62">($L$188-$L$80)/($A$188-$A$80)+L185</f>
        <v>0.1</v>
      </c>
      <c r="M186" s="1209">
        <f t="shared" si="59"/>
        <v>0.9</v>
      </c>
      <c r="N186" s="53">
        <f t="shared" si="60"/>
        <v>0</v>
      </c>
      <c r="O186" s="53">
        <f t="shared" si="60"/>
        <v>0</v>
      </c>
      <c r="P186" s="776">
        <f t="shared" si="54"/>
        <v>0.20536970495048157</v>
      </c>
      <c r="Q186" s="519">
        <f t="shared" si="55"/>
        <v>9.2416367227716698</v>
      </c>
      <c r="R186" s="53"/>
      <c r="S186" s="1211">
        <f t="shared" si="56"/>
        <v>0.55449820336630007</v>
      </c>
      <c r="T186" s="1198">
        <f t="shared" si="57"/>
        <v>0.50089413269021521</v>
      </c>
      <c r="U186" s="1199">
        <f t="shared" si="57"/>
        <v>26.234291317806349</v>
      </c>
      <c r="V186" s="1199">
        <f t="shared" si="57"/>
        <v>0</v>
      </c>
      <c r="W186" s="1200">
        <f t="shared" si="57"/>
        <v>1.5740574790683808</v>
      </c>
    </row>
    <row r="187" spans="1:23">
      <c r="A187" s="123">
        <f>'Input data'!A121</f>
        <v>2021</v>
      </c>
      <c r="B187" s="1208">
        <f>'Recycling - Case 2'!AI101</f>
        <v>5830.9633715541659</v>
      </c>
      <c r="C187" s="1209">
        <f t="shared" si="61"/>
        <v>0.09</v>
      </c>
      <c r="D187" s="1209">
        <f t="shared" si="58"/>
        <v>0.91</v>
      </c>
      <c r="E187" s="53">
        <v>0</v>
      </c>
      <c r="F187" s="53">
        <v>0</v>
      </c>
      <c r="G187" s="776">
        <f t="shared" si="51"/>
        <v>0.41982936275189991</v>
      </c>
      <c r="H187" s="519">
        <f t="shared" si="52"/>
        <v>21.224706672457163</v>
      </c>
      <c r="I187" s="53"/>
      <c r="J187" s="776">
        <f t="shared" si="53"/>
        <v>1.2734824003474299</v>
      </c>
      <c r="K187" s="1210">
        <f>'Recycling - Case 3'!Z141</f>
        <v>2937.7655654826231</v>
      </c>
      <c r="L187" s="1209">
        <f t="shared" si="62"/>
        <v>0.1</v>
      </c>
      <c r="M187" s="1209">
        <f t="shared" si="59"/>
        <v>0.9</v>
      </c>
      <c r="N187" s="53">
        <f t="shared" si="60"/>
        <v>0</v>
      </c>
      <c r="O187" s="53">
        <f t="shared" si="60"/>
        <v>0</v>
      </c>
      <c r="P187" s="776">
        <f t="shared" si="54"/>
        <v>0.23502124523860987</v>
      </c>
      <c r="Q187" s="519">
        <f t="shared" si="55"/>
        <v>10.575956035737443</v>
      </c>
      <c r="R187" s="53"/>
      <c r="S187" s="1211">
        <f t="shared" si="56"/>
        <v>0.63455736214424652</v>
      </c>
      <c r="T187" s="1198">
        <f t="shared" si="57"/>
        <v>0.65485060799050976</v>
      </c>
      <c r="U187" s="1199">
        <f t="shared" si="57"/>
        <v>31.800662708194608</v>
      </c>
      <c r="V187" s="1199">
        <f t="shared" si="57"/>
        <v>0</v>
      </c>
      <c r="W187" s="1200">
        <f t="shared" si="57"/>
        <v>1.9080397624916765</v>
      </c>
    </row>
    <row r="188" spans="1:23">
      <c r="A188" s="123">
        <f>'Input data'!A122</f>
        <v>2022</v>
      </c>
      <c r="B188" s="1208">
        <f>'Recycling - Case 2'!AI102</f>
        <v>6437.6604656145792</v>
      </c>
      <c r="C188" s="1209">
        <f>'Recycling - Case 2'!E31</f>
        <v>0.1</v>
      </c>
      <c r="D188" s="1209">
        <f t="shared" si="58"/>
        <v>0.9</v>
      </c>
      <c r="E188" s="53">
        <v>0</v>
      </c>
      <c r="F188" s="53">
        <v>0</v>
      </c>
      <c r="G188" s="776">
        <f t="shared" si="51"/>
        <v>0.51501283724916636</v>
      </c>
      <c r="H188" s="519">
        <f t="shared" si="52"/>
        <v>23.175577676212484</v>
      </c>
      <c r="I188" s="53"/>
      <c r="J188" s="776">
        <f t="shared" si="53"/>
        <v>1.3905346605727491</v>
      </c>
      <c r="K188" s="1210">
        <f>'Recycling - Case 3'!Z142</f>
        <v>3143.3394376331189</v>
      </c>
      <c r="L188" s="1209">
        <f>'Recycling - Case 2'!E31</f>
        <v>0.1</v>
      </c>
      <c r="M188" s="1209">
        <f t="shared" si="59"/>
        <v>0.9</v>
      </c>
      <c r="N188" s="53">
        <f t="shared" si="60"/>
        <v>0</v>
      </c>
      <c r="O188" s="53">
        <f t="shared" si="60"/>
        <v>0</v>
      </c>
      <c r="P188" s="776">
        <f t="shared" si="54"/>
        <v>0.25146715501064953</v>
      </c>
      <c r="Q188" s="519">
        <f t="shared" si="55"/>
        <v>11.316021975479229</v>
      </c>
      <c r="R188" s="53"/>
      <c r="S188" s="1211">
        <f t="shared" si="56"/>
        <v>0.67896131852875363</v>
      </c>
      <c r="T188" s="1198">
        <f t="shared" si="57"/>
        <v>0.76647999225981589</v>
      </c>
      <c r="U188" s="1199">
        <f t="shared" si="57"/>
        <v>34.491599651691715</v>
      </c>
      <c r="V188" s="1199">
        <f t="shared" si="57"/>
        <v>0</v>
      </c>
      <c r="W188" s="1200">
        <f t="shared" si="57"/>
        <v>2.0694959791015028</v>
      </c>
    </row>
    <row r="189" spans="1:23">
      <c r="A189" s="123">
        <f>'Input data'!A123</f>
        <v>2023</v>
      </c>
      <c r="B189" s="1208">
        <f>'Recycling - Case 2'!AI103</f>
        <v>6437.6604656145792</v>
      </c>
      <c r="C189" s="1209">
        <f>C188</f>
        <v>0.1</v>
      </c>
      <c r="D189" s="1209">
        <f t="shared" si="58"/>
        <v>0.9</v>
      </c>
      <c r="E189" s="53">
        <v>0</v>
      </c>
      <c r="F189" s="53">
        <v>0</v>
      </c>
      <c r="G189" s="776">
        <f t="shared" si="51"/>
        <v>0.51501283724916636</v>
      </c>
      <c r="H189" s="519">
        <f t="shared" si="52"/>
        <v>23.175577676212484</v>
      </c>
      <c r="I189" s="53"/>
      <c r="J189" s="776">
        <f t="shared" si="53"/>
        <v>1.3905346605727491</v>
      </c>
      <c r="K189" s="1210">
        <f>'Recycling - Case 3'!Z143</f>
        <v>3193.7786150741408</v>
      </c>
      <c r="L189" s="1209">
        <f>L188</f>
        <v>0.1</v>
      </c>
      <c r="M189" s="1209">
        <f t="shared" si="59"/>
        <v>0.9</v>
      </c>
      <c r="N189" s="53">
        <f t="shared" si="60"/>
        <v>0</v>
      </c>
      <c r="O189" s="53">
        <f t="shared" si="60"/>
        <v>0</v>
      </c>
      <c r="P189" s="776">
        <f t="shared" si="54"/>
        <v>0.25550228920593132</v>
      </c>
      <c r="Q189" s="519">
        <f t="shared" si="55"/>
        <v>11.497603014266907</v>
      </c>
      <c r="R189" s="53"/>
      <c r="S189" s="1211">
        <f t="shared" si="56"/>
        <v>0.68985618085601441</v>
      </c>
      <c r="T189" s="1198">
        <f t="shared" si="57"/>
        <v>0.77051512645509768</v>
      </c>
      <c r="U189" s="1199">
        <f t="shared" si="57"/>
        <v>34.673180690479391</v>
      </c>
      <c r="V189" s="1199">
        <f t="shared" si="57"/>
        <v>0</v>
      </c>
      <c r="W189" s="1200">
        <f t="shared" si="57"/>
        <v>2.0803908414287635</v>
      </c>
    </row>
    <row r="190" spans="1:23">
      <c r="A190" s="123">
        <f>'Input data'!A124</f>
        <v>2024</v>
      </c>
      <c r="B190" s="1208">
        <f>'Recycling - Case 2'!AI104</f>
        <v>6437.6604656145792</v>
      </c>
      <c r="C190" s="1209">
        <f t="shared" ref="C190:C216" si="63">C189</f>
        <v>0.1</v>
      </c>
      <c r="D190" s="1209">
        <f t="shared" si="58"/>
        <v>0.9</v>
      </c>
      <c r="E190" s="53">
        <v>0</v>
      </c>
      <c r="F190" s="53">
        <v>0</v>
      </c>
      <c r="G190" s="776">
        <f t="shared" si="51"/>
        <v>0.51501283724916636</v>
      </c>
      <c r="H190" s="519">
        <f t="shared" si="52"/>
        <v>23.175577676212484</v>
      </c>
      <c r="I190" s="53"/>
      <c r="J190" s="776">
        <f t="shared" si="53"/>
        <v>1.3905346605727491</v>
      </c>
      <c r="K190" s="1210">
        <f>'Recycling - Case 3'!Z144</f>
        <v>3247.9631140768552</v>
      </c>
      <c r="L190" s="1209">
        <f t="shared" ref="L190:L216" si="64">L189</f>
        <v>0.1</v>
      </c>
      <c r="M190" s="1209">
        <f t="shared" si="59"/>
        <v>0.9</v>
      </c>
      <c r="N190" s="53">
        <f t="shared" si="60"/>
        <v>0</v>
      </c>
      <c r="O190" s="53">
        <f t="shared" si="60"/>
        <v>0</v>
      </c>
      <c r="P190" s="776">
        <f t="shared" si="54"/>
        <v>0.25983704912614847</v>
      </c>
      <c r="Q190" s="519">
        <f t="shared" si="55"/>
        <v>11.692667210676678</v>
      </c>
      <c r="R190" s="53"/>
      <c r="S190" s="1211">
        <f t="shared" si="56"/>
        <v>0.70156003264060074</v>
      </c>
      <c r="T190" s="1198">
        <f t="shared" si="57"/>
        <v>0.77484988637531482</v>
      </c>
      <c r="U190" s="1199">
        <f t="shared" si="57"/>
        <v>34.868244886889158</v>
      </c>
      <c r="V190" s="1199">
        <f t="shared" si="57"/>
        <v>0</v>
      </c>
      <c r="W190" s="1200">
        <f t="shared" si="57"/>
        <v>2.0920946932133497</v>
      </c>
    </row>
    <row r="191" spans="1:23">
      <c r="A191" s="123">
        <f>'Input data'!A125</f>
        <v>2025</v>
      </c>
      <c r="B191" s="1208">
        <f>'Recycling - Case 2'!AI105</f>
        <v>6437.6604656145792</v>
      </c>
      <c r="C191" s="1209">
        <f t="shared" si="63"/>
        <v>0.1</v>
      </c>
      <c r="D191" s="1209">
        <f t="shared" si="58"/>
        <v>0.9</v>
      </c>
      <c r="E191" s="53">
        <v>0</v>
      </c>
      <c r="F191" s="53">
        <v>0</v>
      </c>
      <c r="G191" s="776">
        <f t="shared" si="51"/>
        <v>0.51501283724916636</v>
      </c>
      <c r="H191" s="519">
        <f t="shared" si="52"/>
        <v>23.175577676212484</v>
      </c>
      <c r="I191" s="53"/>
      <c r="J191" s="776">
        <f t="shared" si="53"/>
        <v>1.3905346605727491</v>
      </c>
      <c r="K191" s="1210">
        <f>'Recycling - Case 3'!Z145</f>
        <v>3295.6393491706608</v>
      </c>
      <c r="L191" s="1209">
        <f t="shared" si="64"/>
        <v>0.1</v>
      </c>
      <c r="M191" s="1209">
        <f t="shared" si="59"/>
        <v>0.9</v>
      </c>
      <c r="N191" s="53">
        <f t="shared" si="60"/>
        <v>0</v>
      </c>
      <c r="O191" s="53">
        <f t="shared" si="60"/>
        <v>0</v>
      </c>
      <c r="P191" s="776">
        <f t="shared" si="54"/>
        <v>0.26365114793365291</v>
      </c>
      <c r="Q191" s="519">
        <f t="shared" si="55"/>
        <v>11.864301657014378</v>
      </c>
      <c r="R191" s="53"/>
      <c r="S191" s="1211">
        <f t="shared" si="56"/>
        <v>0.71185809942086264</v>
      </c>
      <c r="T191" s="1198">
        <f t="shared" si="57"/>
        <v>0.77866398518281921</v>
      </c>
      <c r="U191" s="1199">
        <f t="shared" si="57"/>
        <v>35.039879333226864</v>
      </c>
      <c r="V191" s="1199">
        <f t="shared" si="57"/>
        <v>0</v>
      </c>
      <c r="W191" s="1200">
        <f t="shared" si="57"/>
        <v>2.1023927599936116</v>
      </c>
    </row>
    <row r="192" spans="1:23">
      <c r="A192" s="123">
        <f>'Input data'!A126</f>
        <v>2026</v>
      </c>
      <c r="B192" s="1208">
        <f>'Recycling - Case 2'!AI106</f>
        <v>6437.6604656145792</v>
      </c>
      <c r="C192" s="1209">
        <f t="shared" si="63"/>
        <v>0.1</v>
      </c>
      <c r="D192" s="1209">
        <f t="shared" si="58"/>
        <v>0.9</v>
      </c>
      <c r="E192" s="53">
        <v>0</v>
      </c>
      <c r="F192" s="53">
        <v>0</v>
      </c>
      <c r="G192" s="776">
        <f t="shared" si="51"/>
        <v>0.51501283724916636</v>
      </c>
      <c r="H192" s="519">
        <f t="shared" si="52"/>
        <v>23.175577676212484</v>
      </c>
      <c r="I192" s="53"/>
      <c r="J192" s="776">
        <f t="shared" si="53"/>
        <v>1.3905346605727491</v>
      </c>
      <c r="K192" s="1210">
        <f>'Recycling - Case 3'!Z146</f>
        <v>3339.4558089478387</v>
      </c>
      <c r="L192" s="1209">
        <f t="shared" si="64"/>
        <v>0.1</v>
      </c>
      <c r="M192" s="1209">
        <f t="shared" si="59"/>
        <v>0.9</v>
      </c>
      <c r="N192" s="53">
        <f t="shared" si="60"/>
        <v>0</v>
      </c>
      <c r="O192" s="53">
        <f t="shared" si="60"/>
        <v>0</v>
      </c>
      <c r="P192" s="776">
        <f t="shared" si="54"/>
        <v>0.26715646471582716</v>
      </c>
      <c r="Q192" s="519">
        <f t="shared" si="55"/>
        <v>12.022040912212221</v>
      </c>
      <c r="R192" s="53"/>
      <c r="S192" s="1211">
        <f t="shared" si="56"/>
        <v>0.72132245473273315</v>
      </c>
      <c r="T192" s="1198">
        <f t="shared" si="57"/>
        <v>0.78216930196499357</v>
      </c>
      <c r="U192" s="1199">
        <f t="shared" si="57"/>
        <v>35.197618588424703</v>
      </c>
      <c r="V192" s="1199">
        <f t="shared" si="57"/>
        <v>0</v>
      </c>
      <c r="W192" s="1200">
        <f t="shared" si="57"/>
        <v>2.1118571153054821</v>
      </c>
    </row>
    <row r="193" spans="1:23">
      <c r="A193" s="123">
        <f>'Input data'!A127</f>
        <v>2027</v>
      </c>
      <c r="B193" s="1208">
        <f>'Recycling - Case 2'!AI107</f>
        <v>6437.6604656145792</v>
      </c>
      <c r="C193" s="1209">
        <f t="shared" si="63"/>
        <v>0.1</v>
      </c>
      <c r="D193" s="1209">
        <f t="shared" si="58"/>
        <v>0.9</v>
      </c>
      <c r="E193" s="53">
        <v>0</v>
      </c>
      <c r="F193" s="53">
        <v>0</v>
      </c>
      <c r="G193" s="776">
        <f t="shared" si="51"/>
        <v>0.51501283724916636</v>
      </c>
      <c r="H193" s="519">
        <f t="shared" si="52"/>
        <v>23.175577676212484</v>
      </c>
      <c r="I193" s="53"/>
      <c r="J193" s="776">
        <f t="shared" si="53"/>
        <v>1.3905346605727491</v>
      </c>
      <c r="K193" s="1210">
        <f>'Recycling - Case 3'!Z147</f>
        <v>3379.7386694672964</v>
      </c>
      <c r="L193" s="1209">
        <f t="shared" si="64"/>
        <v>0.1</v>
      </c>
      <c r="M193" s="1209">
        <f t="shared" si="59"/>
        <v>0.9</v>
      </c>
      <c r="N193" s="53">
        <f t="shared" si="60"/>
        <v>0</v>
      </c>
      <c r="O193" s="53">
        <f t="shared" si="60"/>
        <v>0</v>
      </c>
      <c r="P193" s="776">
        <f t="shared" si="54"/>
        <v>0.27037909355738377</v>
      </c>
      <c r="Q193" s="519">
        <f t="shared" si="55"/>
        <v>12.167059210082266</v>
      </c>
      <c r="R193" s="53"/>
      <c r="S193" s="1211">
        <f t="shared" si="56"/>
        <v>0.73002355260493612</v>
      </c>
      <c r="T193" s="1198">
        <f t="shared" si="57"/>
        <v>0.78539193080655012</v>
      </c>
      <c r="U193" s="1199">
        <f t="shared" si="57"/>
        <v>35.342636886294748</v>
      </c>
      <c r="V193" s="1199">
        <f t="shared" si="57"/>
        <v>0</v>
      </c>
      <c r="W193" s="1200">
        <f t="shared" si="57"/>
        <v>2.1205582131776852</v>
      </c>
    </row>
    <row r="194" spans="1:23">
      <c r="A194" s="123">
        <f>'Input data'!A128</f>
        <v>2028</v>
      </c>
      <c r="B194" s="1208">
        <f>'Recycling - Case 2'!AI108</f>
        <v>6437.6604656145792</v>
      </c>
      <c r="C194" s="1209">
        <f t="shared" si="63"/>
        <v>0.1</v>
      </c>
      <c r="D194" s="1209">
        <f t="shared" si="58"/>
        <v>0.9</v>
      </c>
      <c r="E194" s="53">
        <v>0</v>
      </c>
      <c r="F194" s="53">
        <v>0</v>
      </c>
      <c r="G194" s="776">
        <f t="shared" si="51"/>
        <v>0.51501283724916636</v>
      </c>
      <c r="H194" s="519">
        <f t="shared" si="52"/>
        <v>23.175577676212484</v>
      </c>
      <c r="I194" s="53"/>
      <c r="J194" s="776">
        <f t="shared" si="53"/>
        <v>1.3905346605727491</v>
      </c>
      <c r="K194" s="1210">
        <f>'Recycling - Case 3'!Z148</f>
        <v>3426.3883095687434</v>
      </c>
      <c r="L194" s="1209">
        <f t="shared" si="64"/>
        <v>0.1</v>
      </c>
      <c r="M194" s="1209">
        <f t="shared" si="59"/>
        <v>0.9</v>
      </c>
      <c r="N194" s="53">
        <f t="shared" si="60"/>
        <v>0</v>
      </c>
      <c r="O194" s="53">
        <f t="shared" si="60"/>
        <v>0</v>
      </c>
      <c r="P194" s="776">
        <f t="shared" si="54"/>
        <v>0.27411106476549951</v>
      </c>
      <c r="Q194" s="519">
        <f t="shared" si="55"/>
        <v>12.334997914447477</v>
      </c>
      <c r="R194" s="53"/>
      <c r="S194" s="1211">
        <f t="shared" si="56"/>
        <v>0.74009987486684858</v>
      </c>
      <c r="T194" s="1198">
        <f t="shared" si="57"/>
        <v>0.78912390201466587</v>
      </c>
      <c r="U194" s="1199">
        <f t="shared" si="57"/>
        <v>35.510575590659961</v>
      </c>
      <c r="V194" s="1199">
        <f t="shared" si="57"/>
        <v>0</v>
      </c>
      <c r="W194" s="1200">
        <f t="shared" si="57"/>
        <v>2.1306345354395977</v>
      </c>
    </row>
    <row r="195" spans="1:23">
      <c r="A195" s="123">
        <f>'Input data'!A129</f>
        <v>2029</v>
      </c>
      <c r="B195" s="1208">
        <f>'Recycling - Case 2'!AI109</f>
        <v>6437.6604656145792</v>
      </c>
      <c r="C195" s="1209">
        <f t="shared" si="63"/>
        <v>0.1</v>
      </c>
      <c r="D195" s="1209">
        <f t="shared" si="58"/>
        <v>0.9</v>
      </c>
      <c r="E195" s="53">
        <v>0</v>
      </c>
      <c r="F195" s="53">
        <v>0</v>
      </c>
      <c r="G195" s="776">
        <f t="shared" si="51"/>
        <v>0.51501283724916636</v>
      </c>
      <c r="H195" s="519">
        <f t="shared" si="52"/>
        <v>23.175577676212484</v>
      </c>
      <c r="I195" s="53"/>
      <c r="J195" s="776">
        <f t="shared" si="53"/>
        <v>1.3905346605727491</v>
      </c>
      <c r="K195" s="1210">
        <f>'Recycling - Case 3'!Z149</f>
        <v>3485.8660805942818</v>
      </c>
      <c r="L195" s="1209">
        <f t="shared" si="64"/>
        <v>0.1</v>
      </c>
      <c r="M195" s="1209">
        <f t="shared" si="59"/>
        <v>0.9</v>
      </c>
      <c r="N195" s="53">
        <f t="shared" si="60"/>
        <v>0</v>
      </c>
      <c r="O195" s="53">
        <f t="shared" si="60"/>
        <v>0</v>
      </c>
      <c r="P195" s="776">
        <f t="shared" si="54"/>
        <v>0.27886928644754261</v>
      </c>
      <c r="Q195" s="519">
        <f t="shared" si="55"/>
        <v>12.549117890139414</v>
      </c>
      <c r="R195" s="53"/>
      <c r="S195" s="1211">
        <f t="shared" si="56"/>
        <v>0.75294707340836486</v>
      </c>
      <c r="T195" s="1198">
        <f t="shared" si="57"/>
        <v>0.79388212369670896</v>
      </c>
      <c r="U195" s="1199">
        <f t="shared" si="57"/>
        <v>35.724695566351897</v>
      </c>
      <c r="V195" s="1199">
        <f t="shared" si="57"/>
        <v>0</v>
      </c>
      <c r="W195" s="1200">
        <f t="shared" si="57"/>
        <v>2.1434817339811141</v>
      </c>
    </row>
    <row r="196" spans="1:23">
      <c r="A196" s="123">
        <f>'Input data'!A130</f>
        <v>2030</v>
      </c>
      <c r="B196" s="1208">
        <f>'Recycling - Case 2'!AI110</f>
        <v>6437.6604656145792</v>
      </c>
      <c r="C196" s="1209">
        <f t="shared" si="63"/>
        <v>0.1</v>
      </c>
      <c r="D196" s="1209">
        <f t="shared" si="58"/>
        <v>0.9</v>
      </c>
      <c r="E196" s="53">
        <v>0</v>
      </c>
      <c r="F196" s="53">
        <v>0</v>
      </c>
      <c r="G196" s="776">
        <f t="shared" si="51"/>
        <v>0.51501283724916636</v>
      </c>
      <c r="H196" s="519">
        <f t="shared" si="52"/>
        <v>23.175577676212484</v>
      </c>
      <c r="I196" s="53"/>
      <c r="J196" s="776">
        <f t="shared" si="53"/>
        <v>1.3905346605727491</v>
      </c>
      <c r="K196" s="1210">
        <f>'Recycling - Case 3'!Z150</f>
        <v>3538.217660793739</v>
      </c>
      <c r="L196" s="1209">
        <f t="shared" si="64"/>
        <v>0.1</v>
      </c>
      <c r="M196" s="1209">
        <f t="shared" si="59"/>
        <v>0.9</v>
      </c>
      <c r="N196" s="53">
        <f t="shared" si="60"/>
        <v>0</v>
      </c>
      <c r="O196" s="53">
        <f t="shared" si="60"/>
        <v>0</v>
      </c>
      <c r="P196" s="776">
        <f t="shared" si="54"/>
        <v>0.28305741286349917</v>
      </c>
      <c r="Q196" s="519">
        <f t="shared" si="55"/>
        <v>12.737583578857461</v>
      </c>
      <c r="R196" s="53"/>
      <c r="S196" s="1211">
        <f t="shared" si="56"/>
        <v>0.76425501473144763</v>
      </c>
      <c r="T196" s="1198">
        <f t="shared" si="57"/>
        <v>0.79807025011266552</v>
      </c>
      <c r="U196" s="1199">
        <f t="shared" si="57"/>
        <v>35.913161255069944</v>
      </c>
      <c r="V196" s="1199">
        <f t="shared" si="57"/>
        <v>0</v>
      </c>
      <c r="W196" s="1200">
        <f t="shared" si="57"/>
        <v>2.1547896753041966</v>
      </c>
    </row>
    <row r="197" spans="1:23">
      <c r="A197" s="123">
        <f>'Input data'!A131</f>
        <v>2031</v>
      </c>
      <c r="B197" s="1208">
        <f>'Recycling - Case 2'!AI111</f>
        <v>6437.6604656145792</v>
      </c>
      <c r="C197" s="1209">
        <f t="shared" si="63"/>
        <v>0.1</v>
      </c>
      <c r="D197" s="1209">
        <f t="shared" si="58"/>
        <v>0.9</v>
      </c>
      <c r="E197" s="53">
        <v>0</v>
      </c>
      <c r="F197" s="53">
        <v>0</v>
      </c>
      <c r="G197" s="776">
        <f t="shared" si="51"/>
        <v>0.51501283724916636</v>
      </c>
      <c r="H197" s="519">
        <f t="shared" si="52"/>
        <v>23.175577676212484</v>
      </c>
      <c r="I197" s="53"/>
      <c r="J197" s="776">
        <f t="shared" si="53"/>
        <v>1.3905346605727491</v>
      </c>
      <c r="K197" s="1210">
        <f>'Recycling - Case 3'!Z151</f>
        <v>3504.1852978367515</v>
      </c>
      <c r="L197" s="1209">
        <f t="shared" si="64"/>
        <v>0.1</v>
      </c>
      <c r="M197" s="1209">
        <f t="shared" si="59"/>
        <v>0.9</v>
      </c>
      <c r="N197" s="53">
        <f t="shared" si="60"/>
        <v>0</v>
      </c>
      <c r="O197" s="53">
        <f t="shared" si="60"/>
        <v>0</v>
      </c>
      <c r="P197" s="776">
        <f t="shared" si="54"/>
        <v>0.28033482382694019</v>
      </c>
      <c r="Q197" s="519">
        <f t="shared" si="55"/>
        <v>12.615067072212305</v>
      </c>
      <c r="R197" s="53"/>
      <c r="S197" s="1211">
        <f t="shared" si="56"/>
        <v>0.75690402433273829</v>
      </c>
      <c r="T197" s="1198">
        <f t="shared" si="57"/>
        <v>0.79534766107610655</v>
      </c>
      <c r="U197" s="1199">
        <f t="shared" si="57"/>
        <v>35.790644748424789</v>
      </c>
      <c r="V197" s="1199">
        <f t="shared" si="57"/>
        <v>0</v>
      </c>
      <c r="W197" s="1200">
        <f t="shared" si="57"/>
        <v>2.1474386849054872</v>
      </c>
    </row>
    <row r="198" spans="1:23">
      <c r="A198" s="123">
        <f>'Input data'!A132</f>
        <v>2032</v>
      </c>
      <c r="B198" s="1208">
        <f>'Recycling - Case 2'!AI112</f>
        <v>6437.6604656145792</v>
      </c>
      <c r="C198" s="1209">
        <f t="shared" si="63"/>
        <v>0.1</v>
      </c>
      <c r="D198" s="1209">
        <f t="shared" si="58"/>
        <v>0.9</v>
      </c>
      <c r="E198" s="53">
        <v>0</v>
      </c>
      <c r="F198" s="53">
        <v>0</v>
      </c>
      <c r="G198" s="776">
        <f t="shared" si="51"/>
        <v>0.51501283724916636</v>
      </c>
      <c r="H198" s="519">
        <f t="shared" si="52"/>
        <v>23.175577676212484</v>
      </c>
      <c r="I198" s="53"/>
      <c r="J198" s="776">
        <f t="shared" si="53"/>
        <v>1.3905346605727491</v>
      </c>
      <c r="K198" s="1210">
        <f>'Recycling - Case 3'!Z152</f>
        <v>3598.6028123457536</v>
      </c>
      <c r="L198" s="1209">
        <f t="shared" si="64"/>
        <v>0.1</v>
      </c>
      <c r="M198" s="1209">
        <f t="shared" si="59"/>
        <v>0.9</v>
      </c>
      <c r="N198" s="53">
        <f t="shared" si="60"/>
        <v>0</v>
      </c>
      <c r="O198" s="53">
        <f t="shared" si="60"/>
        <v>0</v>
      </c>
      <c r="P198" s="776">
        <f t="shared" si="54"/>
        <v>0.28788822498766037</v>
      </c>
      <c r="Q198" s="519">
        <f t="shared" si="55"/>
        <v>12.954970124444714</v>
      </c>
      <c r="R198" s="53"/>
      <c r="S198" s="1211">
        <f t="shared" si="56"/>
        <v>0.77729820746668277</v>
      </c>
      <c r="T198" s="1198">
        <f t="shared" si="57"/>
        <v>0.80290106223682667</v>
      </c>
      <c r="U198" s="1199">
        <f t="shared" si="57"/>
        <v>36.130547800657197</v>
      </c>
      <c r="V198" s="1199">
        <f t="shared" si="57"/>
        <v>0</v>
      </c>
      <c r="W198" s="1200">
        <f t="shared" si="57"/>
        <v>2.1678328680394321</v>
      </c>
    </row>
    <row r="199" spans="1:23">
      <c r="A199" s="123">
        <f>'Input data'!A133</f>
        <v>2033</v>
      </c>
      <c r="B199" s="1208">
        <f>'Recycling - Case 2'!AI113</f>
        <v>6437.6604656145792</v>
      </c>
      <c r="C199" s="1209">
        <f t="shared" si="63"/>
        <v>0.1</v>
      </c>
      <c r="D199" s="1209">
        <f t="shared" si="58"/>
        <v>0.9</v>
      </c>
      <c r="E199" s="53">
        <v>0</v>
      </c>
      <c r="F199" s="53">
        <v>0</v>
      </c>
      <c r="G199" s="776">
        <f t="shared" si="51"/>
        <v>0.51501283724916636</v>
      </c>
      <c r="H199" s="519">
        <f t="shared" si="52"/>
        <v>23.175577676212484</v>
      </c>
      <c r="I199" s="53"/>
      <c r="J199" s="776">
        <f t="shared" si="53"/>
        <v>1.3905346605727491</v>
      </c>
      <c r="K199" s="1210">
        <f>'Recycling - Case 3'!Z153</f>
        <v>3689.9033028722483</v>
      </c>
      <c r="L199" s="1209">
        <f t="shared" si="64"/>
        <v>0.1</v>
      </c>
      <c r="M199" s="1209">
        <f t="shared" si="59"/>
        <v>0.9</v>
      </c>
      <c r="N199" s="53">
        <f t="shared" si="60"/>
        <v>0</v>
      </c>
      <c r="O199" s="53">
        <f t="shared" si="60"/>
        <v>0</v>
      </c>
      <c r="P199" s="776">
        <f t="shared" si="54"/>
        <v>0.29519226422977995</v>
      </c>
      <c r="Q199" s="519">
        <f t="shared" si="55"/>
        <v>13.283651890340094</v>
      </c>
      <c r="R199" s="53"/>
      <c r="S199" s="1211">
        <f t="shared" si="56"/>
        <v>0.79701911342040554</v>
      </c>
      <c r="T199" s="1198">
        <f t="shared" si="57"/>
        <v>0.81020510147894631</v>
      </c>
      <c r="U199" s="1199">
        <f t="shared" si="57"/>
        <v>36.45922956655258</v>
      </c>
      <c r="V199" s="1199">
        <f t="shared" si="57"/>
        <v>0</v>
      </c>
      <c r="W199" s="1200">
        <f t="shared" si="57"/>
        <v>2.1875537739931548</v>
      </c>
    </row>
    <row r="200" spans="1:23">
      <c r="A200" s="123">
        <f>'Input data'!A134</f>
        <v>2034</v>
      </c>
      <c r="B200" s="1208">
        <f>'Recycling - Case 2'!AI114</f>
        <v>6437.6604656145792</v>
      </c>
      <c r="C200" s="1209">
        <f t="shared" si="63"/>
        <v>0.1</v>
      </c>
      <c r="D200" s="1209">
        <f t="shared" si="58"/>
        <v>0.9</v>
      </c>
      <c r="E200" s="53">
        <v>0</v>
      </c>
      <c r="F200" s="53">
        <v>0</v>
      </c>
      <c r="G200" s="776">
        <f t="shared" si="51"/>
        <v>0.51501283724916636</v>
      </c>
      <c r="H200" s="519">
        <f t="shared" si="52"/>
        <v>23.175577676212484</v>
      </c>
      <c r="I200" s="53"/>
      <c r="J200" s="776">
        <f t="shared" si="53"/>
        <v>1.3905346605727491</v>
      </c>
      <c r="K200" s="1210">
        <f>'Recycling - Case 3'!Z154</f>
        <v>3802.1747903841533</v>
      </c>
      <c r="L200" s="1209">
        <f t="shared" si="64"/>
        <v>0.1</v>
      </c>
      <c r="M200" s="1209">
        <f t="shared" si="59"/>
        <v>0.9</v>
      </c>
      <c r="N200" s="53">
        <f t="shared" si="60"/>
        <v>0</v>
      </c>
      <c r="O200" s="53">
        <f t="shared" si="60"/>
        <v>0</v>
      </c>
      <c r="P200" s="776">
        <f t="shared" si="54"/>
        <v>0.30417398323073236</v>
      </c>
      <c r="Q200" s="519">
        <f t="shared" si="55"/>
        <v>13.687829245382952</v>
      </c>
      <c r="R200" s="53"/>
      <c r="S200" s="1211">
        <f t="shared" si="56"/>
        <v>0.82126975472297714</v>
      </c>
      <c r="T200" s="1198">
        <f t="shared" si="57"/>
        <v>0.81918682047989866</v>
      </c>
      <c r="U200" s="1199">
        <f t="shared" si="57"/>
        <v>36.863406921595434</v>
      </c>
      <c r="V200" s="1199">
        <f t="shared" si="57"/>
        <v>0</v>
      </c>
      <c r="W200" s="1200">
        <f t="shared" si="57"/>
        <v>2.2118044152957261</v>
      </c>
    </row>
    <row r="201" spans="1:23">
      <c r="A201" s="123">
        <f>'Input data'!A135</f>
        <v>2035</v>
      </c>
      <c r="B201" s="1208">
        <f>'Recycling - Case 2'!AI115</f>
        <v>6437.6604656145792</v>
      </c>
      <c r="C201" s="1209">
        <f t="shared" si="63"/>
        <v>0.1</v>
      </c>
      <c r="D201" s="1209">
        <f t="shared" si="58"/>
        <v>0.9</v>
      </c>
      <c r="E201" s="53">
        <v>0</v>
      </c>
      <c r="F201" s="53">
        <v>0</v>
      </c>
      <c r="G201" s="776">
        <f t="shared" si="51"/>
        <v>0.51501283724916636</v>
      </c>
      <c r="H201" s="519">
        <f t="shared" si="52"/>
        <v>23.175577676212484</v>
      </c>
      <c r="I201" s="53"/>
      <c r="J201" s="776">
        <f t="shared" si="53"/>
        <v>1.3905346605727491</v>
      </c>
      <c r="K201" s="1210">
        <f>'Recycling - Case 3'!Z155</f>
        <v>3897.4519949695709</v>
      </c>
      <c r="L201" s="1209">
        <f t="shared" si="64"/>
        <v>0.1</v>
      </c>
      <c r="M201" s="1209">
        <f t="shared" si="59"/>
        <v>0.9</v>
      </c>
      <c r="N201" s="53">
        <f t="shared" ref="N201:O216" si="65">N199</f>
        <v>0</v>
      </c>
      <c r="O201" s="53">
        <f t="shared" si="65"/>
        <v>0</v>
      </c>
      <c r="P201" s="776">
        <f t="shared" si="54"/>
        <v>0.31179615959756574</v>
      </c>
      <c r="Q201" s="519">
        <f t="shared" si="55"/>
        <v>14.030827181890455</v>
      </c>
      <c r="R201" s="53"/>
      <c r="S201" s="1211">
        <f t="shared" si="56"/>
        <v>0.84184963091342724</v>
      </c>
      <c r="T201" s="1198">
        <f t="shared" si="57"/>
        <v>0.82680899684673204</v>
      </c>
      <c r="U201" s="1199">
        <f t="shared" si="57"/>
        <v>37.206404858102943</v>
      </c>
      <c r="V201" s="1199">
        <f t="shared" si="57"/>
        <v>0</v>
      </c>
      <c r="W201" s="1200">
        <f t="shared" si="57"/>
        <v>2.2323842914861762</v>
      </c>
    </row>
    <row r="202" spans="1:23">
      <c r="A202" s="123">
        <f>'Input data'!A136</f>
        <v>2036</v>
      </c>
      <c r="B202" s="1208">
        <f>'Recycling - Case 2'!AI116</f>
        <v>6437.6604656145792</v>
      </c>
      <c r="C202" s="1209">
        <f t="shared" si="63"/>
        <v>0.1</v>
      </c>
      <c r="D202" s="1209">
        <f t="shared" si="58"/>
        <v>0.9</v>
      </c>
      <c r="E202" s="53">
        <v>0</v>
      </c>
      <c r="F202" s="53">
        <v>0</v>
      </c>
      <c r="G202" s="776">
        <f t="shared" si="51"/>
        <v>0.51501283724916636</v>
      </c>
      <c r="H202" s="519">
        <f t="shared" si="52"/>
        <v>23.175577676212484</v>
      </c>
      <c r="I202" s="53"/>
      <c r="J202" s="776">
        <f t="shared" si="53"/>
        <v>1.3905346605727491</v>
      </c>
      <c r="K202" s="1210">
        <f>'Recycling - Case 3'!Z156</f>
        <v>3992.1553192580318</v>
      </c>
      <c r="L202" s="1209">
        <f t="shared" si="64"/>
        <v>0.1</v>
      </c>
      <c r="M202" s="1209">
        <f t="shared" si="59"/>
        <v>0.9</v>
      </c>
      <c r="N202" s="53">
        <f t="shared" si="65"/>
        <v>0</v>
      </c>
      <c r="O202" s="53">
        <f t="shared" si="65"/>
        <v>0</v>
      </c>
      <c r="P202" s="776">
        <f t="shared" si="54"/>
        <v>0.3193724255406426</v>
      </c>
      <c r="Q202" s="519">
        <f t="shared" si="55"/>
        <v>14.371759149328915</v>
      </c>
      <c r="R202" s="53"/>
      <c r="S202" s="1211">
        <f t="shared" si="56"/>
        <v>0.86230554895973488</v>
      </c>
      <c r="T202" s="1198">
        <f t="shared" si="57"/>
        <v>0.83438526278980896</v>
      </c>
      <c r="U202" s="1199">
        <f t="shared" si="57"/>
        <v>37.5473368255414</v>
      </c>
      <c r="V202" s="1199">
        <f t="shared" si="57"/>
        <v>0</v>
      </c>
      <c r="W202" s="1200">
        <f t="shared" si="57"/>
        <v>2.2528402095324838</v>
      </c>
    </row>
    <row r="203" spans="1:23">
      <c r="A203" s="123">
        <f>'Input data'!A137</f>
        <v>2037</v>
      </c>
      <c r="B203" s="1208">
        <f>'Recycling - Case 2'!AI117</f>
        <v>6437.6604656145792</v>
      </c>
      <c r="C203" s="1209">
        <f t="shared" si="63"/>
        <v>0.1</v>
      </c>
      <c r="D203" s="1209">
        <f t="shared" si="58"/>
        <v>0.9</v>
      </c>
      <c r="E203" s="53">
        <v>0</v>
      </c>
      <c r="F203" s="53">
        <v>0</v>
      </c>
      <c r="G203" s="776">
        <f t="shared" si="51"/>
        <v>0.51501283724916636</v>
      </c>
      <c r="H203" s="519">
        <f t="shared" si="52"/>
        <v>23.175577676212484</v>
      </c>
      <c r="I203" s="53"/>
      <c r="J203" s="776">
        <f t="shared" si="53"/>
        <v>1.3905346605727491</v>
      </c>
      <c r="K203" s="1210">
        <f>'Recycling - Case 3'!Z157</f>
        <v>4095.1250637445028</v>
      </c>
      <c r="L203" s="1209">
        <f t="shared" si="64"/>
        <v>0.1</v>
      </c>
      <c r="M203" s="1209">
        <f t="shared" si="59"/>
        <v>0.9</v>
      </c>
      <c r="N203" s="53">
        <f t="shared" si="65"/>
        <v>0</v>
      </c>
      <c r="O203" s="53">
        <f t="shared" si="65"/>
        <v>0</v>
      </c>
      <c r="P203" s="776">
        <f t="shared" si="54"/>
        <v>0.32761000509956029</v>
      </c>
      <c r="Q203" s="519">
        <f t="shared" si="55"/>
        <v>14.742450229480209</v>
      </c>
      <c r="R203" s="53"/>
      <c r="S203" s="1211">
        <f t="shared" si="56"/>
        <v>0.88454701376881262</v>
      </c>
      <c r="T203" s="1198">
        <f t="shared" si="57"/>
        <v>0.84262284234872664</v>
      </c>
      <c r="U203" s="1199">
        <f t="shared" si="57"/>
        <v>37.918027905692696</v>
      </c>
      <c r="V203" s="1199">
        <f t="shared" si="57"/>
        <v>0</v>
      </c>
      <c r="W203" s="1200">
        <f t="shared" si="57"/>
        <v>2.2750816743415618</v>
      </c>
    </row>
    <row r="204" spans="1:23">
      <c r="A204" s="123">
        <f>'Input data'!A138</f>
        <v>2038</v>
      </c>
      <c r="B204" s="1208">
        <f>'Recycling - Case 2'!AI118</f>
        <v>6437.6604656145792</v>
      </c>
      <c r="C204" s="1209">
        <f t="shared" si="63"/>
        <v>0.1</v>
      </c>
      <c r="D204" s="1209">
        <f t="shared" si="58"/>
        <v>0.9</v>
      </c>
      <c r="E204" s="53">
        <v>0</v>
      </c>
      <c r="F204" s="53">
        <v>0</v>
      </c>
      <c r="G204" s="776">
        <f t="shared" si="51"/>
        <v>0.51501283724916636</v>
      </c>
      <c r="H204" s="519">
        <f t="shared" si="52"/>
        <v>23.175577676212484</v>
      </c>
      <c r="I204" s="53"/>
      <c r="J204" s="776">
        <f t="shared" si="53"/>
        <v>1.3905346605727491</v>
      </c>
      <c r="K204" s="1210">
        <f>'Recycling - Case 3'!Z158</f>
        <v>4195.0479450616976</v>
      </c>
      <c r="L204" s="1209">
        <f t="shared" si="64"/>
        <v>0.1</v>
      </c>
      <c r="M204" s="1209">
        <f t="shared" si="59"/>
        <v>0.9</v>
      </c>
      <c r="N204" s="53">
        <f t="shared" si="65"/>
        <v>0</v>
      </c>
      <c r="O204" s="53">
        <f t="shared" si="65"/>
        <v>0</v>
      </c>
      <c r="P204" s="776">
        <f t="shared" si="54"/>
        <v>0.33560383560493584</v>
      </c>
      <c r="Q204" s="519">
        <f t="shared" si="55"/>
        <v>15.102172602222112</v>
      </c>
      <c r="R204" s="53"/>
      <c r="S204" s="1211">
        <f t="shared" si="56"/>
        <v>0.90613035613332671</v>
      </c>
      <c r="T204" s="1198">
        <f t="shared" si="57"/>
        <v>0.85061667285410225</v>
      </c>
      <c r="U204" s="1199">
        <f t="shared" si="57"/>
        <v>38.277750278434596</v>
      </c>
      <c r="V204" s="1199">
        <f t="shared" si="57"/>
        <v>0</v>
      </c>
      <c r="W204" s="1200">
        <f t="shared" si="57"/>
        <v>2.2966650167060756</v>
      </c>
    </row>
    <row r="205" spans="1:23">
      <c r="A205" s="123">
        <f>'Input data'!A139</f>
        <v>2039</v>
      </c>
      <c r="B205" s="1208">
        <f>'Recycling - Case 2'!AI119</f>
        <v>6437.6604656145792</v>
      </c>
      <c r="C205" s="1209">
        <f t="shared" si="63"/>
        <v>0.1</v>
      </c>
      <c r="D205" s="1209">
        <f t="shared" si="58"/>
        <v>0.9</v>
      </c>
      <c r="E205" s="53">
        <v>0</v>
      </c>
      <c r="F205" s="53">
        <v>0</v>
      </c>
      <c r="G205" s="776">
        <f t="shared" si="51"/>
        <v>0.51501283724916636</v>
      </c>
      <c r="H205" s="519">
        <f t="shared" si="52"/>
        <v>23.175577676212484</v>
      </c>
      <c r="I205" s="53"/>
      <c r="J205" s="776">
        <f t="shared" si="53"/>
        <v>1.3905346605727491</v>
      </c>
      <c r="K205" s="1210">
        <f>'Recycling - Case 3'!Z159</f>
        <v>4297.1410898359891</v>
      </c>
      <c r="L205" s="1209">
        <f t="shared" si="64"/>
        <v>0.1</v>
      </c>
      <c r="M205" s="1209">
        <f t="shared" si="59"/>
        <v>0.9</v>
      </c>
      <c r="N205" s="53">
        <f t="shared" si="65"/>
        <v>0</v>
      </c>
      <c r="O205" s="53">
        <f t="shared" si="65"/>
        <v>0</v>
      </c>
      <c r="P205" s="776">
        <f t="shared" si="54"/>
        <v>0.34377128718687922</v>
      </c>
      <c r="Q205" s="519">
        <f t="shared" si="55"/>
        <v>15.469707923409562</v>
      </c>
      <c r="R205" s="53"/>
      <c r="S205" s="1211">
        <f t="shared" si="56"/>
        <v>0.92818247540457366</v>
      </c>
      <c r="T205" s="1198">
        <f t="shared" si="57"/>
        <v>0.85878412443604557</v>
      </c>
      <c r="U205" s="1199">
        <f t="shared" si="57"/>
        <v>38.645285599622042</v>
      </c>
      <c r="V205" s="1199">
        <f t="shared" si="57"/>
        <v>0</v>
      </c>
      <c r="W205" s="1200">
        <f t="shared" si="57"/>
        <v>2.3187171359773227</v>
      </c>
    </row>
    <row r="206" spans="1:23">
      <c r="A206" s="123">
        <f>'Input data'!A140</f>
        <v>2040</v>
      </c>
      <c r="B206" s="1208">
        <f>'Recycling - Case 2'!AI120</f>
        <v>6437.6604656145792</v>
      </c>
      <c r="C206" s="1209">
        <f t="shared" si="63"/>
        <v>0.1</v>
      </c>
      <c r="D206" s="1209">
        <f t="shared" si="58"/>
        <v>0.9</v>
      </c>
      <c r="E206" s="53">
        <v>0</v>
      </c>
      <c r="F206" s="53">
        <v>0</v>
      </c>
      <c r="G206" s="776">
        <f t="shared" si="51"/>
        <v>0.51501283724916636</v>
      </c>
      <c r="H206" s="519">
        <f t="shared" si="52"/>
        <v>23.175577676212484</v>
      </c>
      <c r="I206" s="53"/>
      <c r="J206" s="776">
        <f t="shared" si="53"/>
        <v>1.3905346605727491</v>
      </c>
      <c r="K206" s="1210">
        <f>'Recycling - Case 3'!Z160</f>
        <v>4400.5229525333853</v>
      </c>
      <c r="L206" s="1209">
        <f t="shared" si="64"/>
        <v>0.1</v>
      </c>
      <c r="M206" s="1209">
        <f t="shared" si="59"/>
        <v>0.9</v>
      </c>
      <c r="N206" s="53">
        <f t="shared" si="65"/>
        <v>0</v>
      </c>
      <c r="O206" s="53">
        <f t="shared" si="65"/>
        <v>0</v>
      </c>
      <c r="P206" s="776">
        <f t="shared" si="54"/>
        <v>0.35204183620267088</v>
      </c>
      <c r="Q206" s="519">
        <f t="shared" si="55"/>
        <v>15.841882629120187</v>
      </c>
      <c r="R206" s="53"/>
      <c r="S206" s="1211">
        <f t="shared" si="56"/>
        <v>0.95051295774721123</v>
      </c>
      <c r="T206" s="1198">
        <f t="shared" si="57"/>
        <v>0.86705467345183718</v>
      </c>
      <c r="U206" s="1199">
        <f t="shared" si="57"/>
        <v>39.017460305332669</v>
      </c>
      <c r="V206" s="1199">
        <f t="shared" si="57"/>
        <v>0</v>
      </c>
      <c r="W206" s="1200">
        <f t="shared" si="57"/>
        <v>2.3410476183199602</v>
      </c>
    </row>
    <row r="207" spans="1:23">
      <c r="A207" s="123">
        <f>'Input data'!A141</f>
        <v>2041</v>
      </c>
      <c r="B207" s="1208">
        <f>'Recycling - Case 2'!AI121</f>
        <v>6437.6604656145792</v>
      </c>
      <c r="C207" s="1209">
        <f t="shared" si="63"/>
        <v>0.1</v>
      </c>
      <c r="D207" s="1209">
        <f t="shared" si="58"/>
        <v>0.9</v>
      </c>
      <c r="E207" s="53">
        <v>0</v>
      </c>
      <c r="F207" s="53">
        <v>0</v>
      </c>
      <c r="G207" s="776">
        <f t="shared" si="51"/>
        <v>0.51501283724916636</v>
      </c>
      <c r="H207" s="519">
        <f t="shared" si="52"/>
        <v>23.175577676212484</v>
      </c>
      <c r="I207" s="53"/>
      <c r="J207" s="776">
        <f t="shared" si="53"/>
        <v>1.3905346605727491</v>
      </c>
      <c r="K207" s="1210">
        <f>'Recycling - Case 3'!Z161</f>
        <v>4514.6270989529849</v>
      </c>
      <c r="L207" s="1209">
        <f t="shared" si="64"/>
        <v>0.1</v>
      </c>
      <c r="M207" s="1209">
        <f t="shared" si="59"/>
        <v>0.9</v>
      </c>
      <c r="N207" s="53">
        <f t="shared" si="65"/>
        <v>0</v>
      </c>
      <c r="O207" s="53">
        <f t="shared" si="65"/>
        <v>0</v>
      </c>
      <c r="P207" s="776">
        <f t="shared" si="54"/>
        <v>0.3611701679162389</v>
      </c>
      <c r="Q207" s="519">
        <f t="shared" si="55"/>
        <v>16.252657556230748</v>
      </c>
      <c r="R207" s="53"/>
      <c r="S207" s="1211">
        <f t="shared" si="56"/>
        <v>0.97515945337384469</v>
      </c>
      <c r="T207" s="1198">
        <f t="shared" si="57"/>
        <v>0.87618300516540526</v>
      </c>
      <c r="U207" s="1199">
        <f t="shared" si="57"/>
        <v>39.428235232443228</v>
      </c>
      <c r="V207" s="1199">
        <f t="shared" si="57"/>
        <v>0</v>
      </c>
      <c r="W207" s="1200">
        <f t="shared" si="57"/>
        <v>2.3656941139465939</v>
      </c>
    </row>
    <row r="208" spans="1:23">
      <c r="A208" s="123">
        <f>'Input data'!A142</f>
        <v>2042</v>
      </c>
      <c r="B208" s="1208">
        <f>'Recycling - Case 2'!AI122</f>
        <v>6437.6604656145792</v>
      </c>
      <c r="C208" s="1209">
        <f t="shared" si="63"/>
        <v>0.1</v>
      </c>
      <c r="D208" s="1209">
        <f t="shared" si="58"/>
        <v>0.9</v>
      </c>
      <c r="E208" s="53">
        <v>0</v>
      </c>
      <c r="F208" s="53">
        <v>0</v>
      </c>
      <c r="G208" s="776">
        <f t="shared" si="51"/>
        <v>0.51501283724916636</v>
      </c>
      <c r="H208" s="519">
        <f t="shared" si="52"/>
        <v>23.175577676212484</v>
      </c>
      <c r="I208" s="53"/>
      <c r="J208" s="776">
        <f t="shared" si="53"/>
        <v>1.3905346605727491</v>
      </c>
      <c r="K208" s="1210">
        <f>'Recycling - Case 3'!Z162</f>
        <v>4619.8617671313086</v>
      </c>
      <c r="L208" s="1209">
        <f t="shared" si="64"/>
        <v>0.1</v>
      </c>
      <c r="M208" s="1209">
        <f t="shared" si="59"/>
        <v>0.9</v>
      </c>
      <c r="N208" s="53">
        <f t="shared" si="65"/>
        <v>0</v>
      </c>
      <c r="O208" s="53">
        <f t="shared" si="65"/>
        <v>0</v>
      </c>
      <c r="P208" s="776">
        <f t="shared" si="54"/>
        <v>0.36958894137050474</v>
      </c>
      <c r="Q208" s="519">
        <f t="shared" si="55"/>
        <v>16.631502361672712</v>
      </c>
      <c r="R208" s="53"/>
      <c r="S208" s="1211">
        <f t="shared" si="56"/>
        <v>0.99789014170036261</v>
      </c>
      <c r="T208" s="1198">
        <f t="shared" si="57"/>
        <v>0.88460177861967115</v>
      </c>
      <c r="U208" s="1199">
        <f t="shared" si="57"/>
        <v>39.8070800378852</v>
      </c>
      <c r="V208" s="1199">
        <f t="shared" si="57"/>
        <v>0</v>
      </c>
      <c r="W208" s="1200">
        <f t="shared" si="57"/>
        <v>2.3884248022731116</v>
      </c>
    </row>
    <row r="209" spans="1:23">
      <c r="A209" s="123">
        <f>'Input data'!A143</f>
        <v>2043</v>
      </c>
      <c r="B209" s="1208">
        <f>'Recycling - Case 2'!AI123</f>
        <v>6437.6604656145792</v>
      </c>
      <c r="C209" s="1209">
        <f t="shared" si="63"/>
        <v>0.1</v>
      </c>
      <c r="D209" s="1209">
        <f t="shared" si="58"/>
        <v>0.9</v>
      </c>
      <c r="E209" s="53">
        <v>0</v>
      </c>
      <c r="F209" s="53">
        <v>0</v>
      </c>
      <c r="G209" s="776">
        <f t="shared" si="51"/>
        <v>0.51501283724916636</v>
      </c>
      <c r="H209" s="519">
        <f t="shared" si="52"/>
        <v>23.175577676212484</v>
      </c>
      <c r="I209" s="53"/>
      <c r="J209" s="776">
        <f t="shared" si="53"/>
        <v>1.3905346605727491</v>
      </c>
      <c r="K209" s="1210">
        <f>'Recycling - Case 3'!Z163</f>
        <v>4725.2965994162041</v>
      </c>
      <c r="L209" s="1209">
        <f t="shared" si="64"/>
        <v>0.1</v>
      </c>
      <c r="M209" s="1209">
        <f t="shared" si="59"/>
        <v>0.9</v>
      </c>
      <c r="N209" s="53">
        <f t="shared" si="65"/>
        <v>0</v>
      </c>
      <c r="O209" s="53">
        <f t="shared" si="65"/>
        <v>0</v>
      </c>
      <c r="P209" s="776">
        <f t="shared" si="54"/>
        <v>0.37802372795329642</v>
      </c>
      <c r="Q209" s="519">
        <f t="shared" si="55"/>
        <v>17.011067757898335</v>
      </c>
      <c r="R209" s="53"/>
      <c r="S209" s="1211">
        <f t="shared" si="56"/>
        <v>1.0206640654739001</v>
      </c>
      <c r="T209" s="1198">
        <f t="shared" si="57"/>
        <v>0.89303656520246277</v>
      </c>
      <c r="U209" s="1199">
        <f t="shared" si="57"/>
        <v>40.186645434110815</v>
      </c>
      <c r="V209" s="1199">
        <f t="shared" si="57"/>
        <v>0</v>
      </c>
      <c r="W209" s="1200">
        <f t="shared" si="57"/>
        <v>2.4111987260466492</v>
      </c>
    </row>
    <row r="210" spans="1:23">
      <c r="A210" s="123">
        <f>'Input data'!A144</f>
        <v>2044</v>
      </c>
      <c r="B210" s="1208">
        <f>'Recycling - Case 2'!AI124</f>
        <v>6437.6604656145792</v>
      </c>
      <c r="C210" s="1209">
        <f t="shared" si="63"/>
        <v>0.1</v>
      </c>
      <c r="D210" s="1209">
        <f t="shared" si="58"/>
        <v>0.9</v>
      </c>
      <c r="E210" s="53">
        <v>0</v>
      </c>
      <c r="F210" s="53">
        <v>0</v>
      </c>
      <c r="G210" s="776">
        <f t="shared" si="51"/>
        <v>0.51501283724916636</v>
      </c>
      <c r="H210" s="519">
        <f t="shared" si="52"/>
        <v>23.175577676212484</v>
      </c>
      <c r="I210" s="53"/>
      <c r="J210" s="776">
        <f t="shared" si="53"/>
        <v>1.3905346605727491</v>
      </c>
      <c r="K210" s="1210">
        <f>'Recycling - Case 3'!Z164</f>
        <v>4833.0377582933197</v>
      </c>
      <c r="L210" s="1209">
        <f t="shared" si="64"/>
        <v>0.1</v>
      </c>
      <c r="M210" s="1209">
        <f t="shared" si="59"/>
        <v>0.9</v>
      </c>
      <c r="N210" s="53">
        <f t="shared" si="65"/>
        <v>0</v>
      </c>
      <c r="O210" s="53">
        <f t="shared" si="65"/>
        <v>0</v>
      </c>
      <c r="P210" s="776">
        <f t="shared" si="54"/>
        <v>0.38664302066346568</v>
      </c>
      <c r="Q210" s="519">
        <f t="shared" si="55"/>
        <v>17.398935929855949</v>
      </c>
      <c r="R210" s="53"/>
      <c r="S210" s="1211">
        <f t="shared" si="56"/>
        <v>1.0439361557913571</v>
      </c>
      <c r="T210" s="1198">
        <f t="shared" si="57"/>
        <v>0.90165585791263203</v>
      </c>
      <c r="U210" s="1199">
        <f t="shared" si="57"/>
        <v>40.574513606068436</v>
      </c>
      <c r="V210" s="1199">
        <f t="shared" si="57"/>
        <v>0</v>
      </c>
      <c r="W210" s="1200">
        <f t="shared" si="57"/>
        <v>2.4344708163641062</v>
      </c>
    </row>
    <row r="211" spans="1:23">
      <c r="A211" s="123">
        <f>'Input data'!A145</f>
        <v>2045</v>
      </c>
      <c r="B211" s="1208">
        <f>'Recycling - Case 2'!AI125</f>
        <v>6437.6604656145792</v>
      </c>
      <c r="C211" s="1209">
        <f t="shared" si="63"/>
        <v>0.1</v>
      </c>
      <c r="D211" s="1209">
        <f t="shared" si="58"/>
        <v>0.9</v>
      </c>
      <c r="E211" s="53">
        <v>0</v>
      </c>
      <c r="F211" s="53">
        <v>0</v>
      </c>
      <c r="G211" s="776">
        <f t="shared" si="51"/>
        <v>0.51501283724916636</v>
      </c>
      <c r="H211" s="519">
        <f t="shared" si="52"/>
        <v>23.175577676212484</v>
      </c>
      <c r="I211" s="53"/>
      <c r="J211" s="776">
        <f t="shared" si="53"/>
        <v>1.3905346605727491</v>
      </c>
      <c r="K211" s="1210">
        <f>'Recycling - Case 3'!Z165</f>
        <v>4943.8418730466392</v>
      </c>
      <c r="L211" s="1209">
        <f t="shared" si="64"/>
        <v>0.1</v>
      </c>
      <c r="M211" s="1209">
        <f t="shared" si="59"/>
        <v>0.9</v>
      </c>
      <c r="N211" s="53">
        <f t="shared" si="65"/>
        <v>0</v>
      </c>
      <c r="O211" s="53">
        <f t="shared" si="65"/>
        <v>0</v>
      </c>
      <c r="P211" s="776">
        <f t="shared" si="54"/>
        <v>0.3955073498437312</v>
      </c>
      <c r="Q211" s="519">
        <f t="shared" si="55"/>
        <v>17.7978307429679</v>
      </c>
      <c r="R211" s="53"/>
      <c r="S211" s="1211">
        <f t="shared" si="56"/>
        <v>1.0678698445780739</v>
      </c>
      <c r="T211" s="1198">
        <f t="shared" si="57"/>
        <v>0.91052018709289761</v>
      </c>
      <c r="U211" s="1199">
        <f t="shared" si="57"/>
        <v>40.973408419180387</v>
      </c>
      <c r="V211" s="1199">
        <f t="shared" si="57"/>
        <v>0</v>
      </c>
      <c r="W211" s="1200">
        <f t="shared" si="57"/>
        <v>2.4584045051508232</v>
      </c>
    </row>
    <row r="212" spans="1:23">
      <c r="A212" s="123">
        <f>'Input data'!A146</f>
        <v>2046</v>
      </c>
      <c r="B212" s="1208">
        <f>'Recycling - Case 2'!AI126</f>
        <v>6437.6604656145792</v>
      </c>
      <c r="C212" s="1209">
        <f t="shared" si="63"/>
        <v>0.1</v>
      </c>
      <c r="D212" s="1209">
        <f t="shared" si="58"/>
        <v>0.9</v>
      </c>
      <c r="E212" s="53">
        <v>0</v>
      </c>
      <c r="F212" s="53">
        <v>0</v>
      </c>
      <c r="G212" s="776">
        <f t="shared" si="51"/>
        <v>0.51501283724916636</v>
      </c>
      <c r="H212" s="519">
        <f t="shared" si="52"/>
        <v>23.175577676212484</v>
      </c>
      <c r="I212" s="53"/>
      <c r="J212" s="776">
        <f t="shared" si="53"/>
        <v>1.3905346605727491</v>
      </c>
      <c r="K212" s="1210">
        <f>'Recycling - Case 3'!Z166</f>
        <v>5067.2658790898813</v>
      </c>
      <c r="L212" s="1209">
        <f t="shared" si="64"/>
        <v>0.1</v>
      </c>
      <c r="M212" s="1209">
        <f t="shared" si="59"/>
        <v>0.9</v>
      </c>
      <c r="N212" s="53">
        <f t="shared" si="65"/>
        <v>0</v>
      </c>
      <c r="O212" s="53">
        <f t="shared" si="65"/>
        <v>0</v>
      </c>
      <c r="P212" s="776">
        <f t="shared" si="54"/>
        <v>0.40538127032719057</v>
      </c>
      <c r="Q212" s="519">
        <f t="shared" si="55"/>
        <v>18.242157164723572</v>
      </c>
      <c r="R212" s="53"/>
      <c r="S212" s="1211">
        <f t="shared" si="56"/>
        <v>1.0945294298834145</v>
      </c>
      <c r="T212" s="1198">
        <f t="shared" si="57"/>
        <v>0.92039410757635687</v>
      </c>
      <c r="U212" s="1199">
        <f t="shared" si="57"/>
        <v>41.417734840936056</v>
      </c>
      <c r="V212" s="1199">
        <f t="shared" si="57"/>
        <v>0</v>
      </c>
      <c r="W212" s="1200">
        <f t="shared" si="57"/>
        <v>2.4850640904561638</v>
      </c>
    </row>
    <row r="213" spans="1:23">
      <c r="A213" s="123">
        <f>'Input data'!A147</f>
        <v>2047</v>
      </c>
      <c r="B213" s="1208">
        <f>'Recycling - Case 2'!AI127</f>
        <v>6437.6604656145792</v>
      </c>
      <c r="C213" s="1209">
        <f t="shared" si="63"/>
        <v>0.1</v>
      </c>
      <c r="D213" s="1209">
        <f t="shared" si="58"/>
        <v>0.9</v>
      </c>
      <c r="E213" s="53">
        <v>0</v>
      </c>
      <c r="F213" s="53">
        <v>0</v>
      </c>
      <c r="G213" s="776">
        <f t="shared" si="51"/>
        <v>0.51501283724916636</v>
      </c>
      <c r="H213" s="519">
        <f t="shared" si="52"/>
        <v>23.175577676212484</v>
      </c>
      <c r="I213" s="53"/>
      <c r="J213" s="776">
        <f t="shared" si="53"/>
        <v>1.3905346605727491</v>
      </c>
      <c r="K213" s="1210">
        <f>'Recycling - Case 3'!Z167</f>
        <v>5163.6864504210689</v>
      </c>
      <c r="L213" s="1209">
        <f t="shared" si="64"/>
        <v>0.1</v>
      </c>
      <c r="M213" s="1209">
        <f t="shared" si="59"/>
        <v>0.9</v>
      </c>
      <c r="N213" s="53">
        <f t="shared" si="65"/>
        <v>0</v>
      </c>
      <c r="O213" s="53">
        <f t="shared" si="65"/>
        <v>0</v>
      </c>
      <c r="P213" s="776">
        <f t="shared" si="54"/>
        <v>0.41309491603368559</v>
      </c>
      <c r="Q213" s="519">
        <f t="shared" si="55"/>
        <v>18.589271221515851</v>
      </c>
      <c r="R213" s="53"/>
      <c r="S213" s="1211">
        <f t="shared" si="56"/>
        <v>1.1153562732909508</v>
      </c>
      <c r="T213" s="1198">
        <f t="shared" si="57"/>
        <v>0.92810775328285189</v>
      </c>
      <c r="U213" s="1199">
        <f t="shared" si="57"/>
        <v>41.764848897728335</v>
      </c>
      <c r="V213" s="1199">
        <f t="shared" si="57"/>
        <v>0</v>
      </c>
      <c r="W213" s="1200">
        <f t="shared" si="57"/>
        <v>2.5058909338637001</v>
      </c>
    </row>
    <row r="214" spans="1:23">
      <c r="A214" s="123">
        <f>'Input data'!A148</f>
        <v>2048</v>
      </c>
      <c r="B214" s="1208">
        <f>'Recycling - Case 2'!AI128</f>
        <v>6437.6604656145792</v>
      </c>
      <c r="C214" s="1209">
        <f t="shared" si="63"/>
        <v>0.1</v>
      </c>
      <c r="D214" s="1209">
        <f t="shared" si="58"/>
        <v>0.9</v>
      </c>
      <c r="E214" s="53">
        <v>0</v>
      </c>
      <c r="F214" s="53">
        <v>0</v>
      </c>
      <c r="G214" s="776">
        <f t="shared" si="51"/>
        <v>0.51501283724916636</v>
      </c>
      <c r="H214" s="519">
        <f t="shared" si="52"/>
        <v>23.175577676212484</v>
      </c>
      <c r="I214" s="53"/>
      <c r="J214" s="776">
        <f t="shared" si="53"/>
        <v>1.3905346605727491</v>
      </c>
      <c r="K214" s="1210">
        <f>'Recycling - Case 3'!Z168</f>
        <v>5262.5257223033932</v>
      </c>
      <c r="L214" s="1209">
        <f t="shared" si="64"/>
        <v>0.1</v>
      </c>
      <c r="M214" s="1209">
        <f t="shared" si="59"/>
        <v>0.9</v>
      </c>
      <c r="N214" s="53">
        <f t="shared" si="65"/>
        <v>0</v>
      </c>
      <c r="O214" s="53">
        <f t="shared" si="65"/>
        <v>0</v>
      </c>
      <c r="P214" s="776">
        <f t="shared" si="54"/>
        <v>0.42100205778427152</v>
      </c>
      <c r="Q214" s="519">
        <f t="shared" si="55"/>
        <v>18.945092600292217</v>
      </c>
      <c r="R214" s="53"/>
      <c r="S214" s="1211">
        <f t="shared" si="56"/>
        <v>1.136705556017533</v>
      </c>
      <c r="T214" s="1198">
        <f t="shared" si="57"/>
        <v>0.93601489503343793</v>
      </c>
      <c r="U214" s="1199">
        <f t="shared" si="57"/>
        <v>42.120670276504697</v>
      </c>
      <c r="V214" s="1199">
        <f t="shared" si="57"/>
        <v>0</v>
      </c>
      <c r="W214" s="1200">
        <f t="shared" si="57"/>
        <v>2.5272402165902821</v>
      </c>
    </row>
    <row r="215" spans="1:23">
      <c r="A215" s="123">
        <f>'Input data'!A149</f>
        <v>2049</v>
      </c>
      <c r="B215" s="1208">
        <f>'Recycling - Case 2'!AI129</f>
        <v>6437.6604656145792</v>
      </c>
      <c r="C215" s="1209">
        <f t="shared" si="63"/>
        <v>0.1</v>
      </c>
      <c r="D215" s="1209">
        <f t="shared" si="58"/>
        <v>0.9</v>
      </c>
      <c r="E215" s="53">
        <v>0</v>
      </c>
      <c r="F215" s="53">
        <v>0</v>
      </c>
      <c r="G215" s="776">
        <f t="shared" si="51"/>
        <v>0.51501283724916636</v>
      </c>
      <c r="H215" s="519">
        <f t="shared" si="52"/>
        <v>23.175577676212484</v>
      </c>
      <c r="I215" s="53"/>
      <c r="J215" s="776">
        <f t="shared" si="53"/>
        <v>1.3905346605727491</v>
      </c>
      <c r="K215" s="1210">
        <f>'Recycling - Case 3'!Z169</f>
        <v>5358.4864389974309</v>
      </c>
      <c r="L215" s="1209">
        <f t="shared" si="64"/>
        <v>0.1</v>
      </c>
      <c r="M215" s="1209">
        <f t="shared" si="59"/>
        <v>0.9</v>
      </c>
      <c r="N215" s="53">
        <f t="shared" si="65"/>
        <v>0</v>
      </c>
      <c r="O215" s="53">
        <f t="shared" si="65"/>
        <v>0</v>
      </c>
      <c r="P215" s="776">
        <f t="shared" si="54"/>
        <v>0.42867891511979456</v>
      </c>
      <c r="Q215" s="519">
        <f t="shared" si="55"/>
        <v>19.29055118039075</v>
      </c>
      <c r="R215" s="53"/>
      <c r="S215" s="1211">
        <f t="shared" si="56"/>
        <v>1.1574330708234453</v>
      </c>
      <c r="T215" s="1198">
        <f t="shared" si="57"/>
        <v>0.94369175236896097</v>
      </c>
      <c r="U215" s="1199">
        <f t="shared" si="57"/>
        <v>42.466128856603234</v>
      </c>
      <c r="V215" s="1199">
        <f t="shared" si="57"/>
        <v>0</v>
      </c>
      <c r="W215" s="1200">
        <f t="shared" si="57"/>
        <v>2.5479677313961941</v>
      </c>
    </row>
    <row r="216" spans="1:23" ht="15.75" thickBot="1">
      <c r="A216" s="123">
        <f>'Input data'!A150</f>
        <v>2050</v>
      </c>
      <c r="B216" s="1208">
        <f>'Recycling - Case 2'!AI130</f>
        <v>6437.6604656145792</v>
      </c>
      <c r="C216" s="578">
        <f t="shared" si="63"/>
        <v>0.1</v>
      </c>
      <c r="D216" s="578">
        <f t="shared" si="58"/>
        <v>0.9</v>
      </c>
      <c r="E216" s="1212">
        <v>0</v>
      </c>
      <c r="F216" s="1212">
        <v>0</v>
      </c>
      <c r="G216" s="1213">
        <f t="shared" si="51"/>
        <v>0.51501283724916636</v>
      </c>
      <c r="H216" s="1144">
        <f t="shared" si="52"/>
        <v>23.175577676212484</v>
      </c>
      <c r="I216" s="1212"/>
      <c r="J216" s="1213">
        <f t="shared" si="53"/>
        <v>1.3905346605727491</v>
      </c>
      <c r="K216" s="1210">
        <f>'Recycling - Case 3'!Z170</f>
        <v>5457.3324760629976</v>
      </c>
      <c r="L216" s="578">
        <f t="shared" si="64"/>
        <v>0.1</v>
      </c>
      <c r="M216" s="578">
        <f t="shared" si="59"/>
        <v>0.9</v>
      </c>
      <c r="N216" s="1212">
        <f t="shared" si="65"/>
        <v>0</v>
      </c>
      <c r="O216" s="1212">
        <f t="shared" si="65"/>
        <v>0</v>
      </c>
      <c r="P216" s="1213">
        <f t="shared" si="54"/>
        <v>0.43658659808503991</v>
      </c>
      <c r="Q216" s="1144">
        <f t="shared" si="55"/>
        <v>19.646396913826791</v>
      </c>
      <c r="R216" s="1212"/>
      <c r="S216" s="1214">
        <f t="shared" si="56"/>
        <v>1.1787838148296075</v>
      </c>
      <c r="T216" s="1215">
        <f t="shared" si="57"/>
        <v>0.95159943533420632</v>
      </c>
      <c r="U216" s="1216">
        <f t="shared" si="57"/>
        <v>42.821974590039275</v>
      </c>
      <c r="V216" s="1216">
        <f t="shared" si="57"/>
        <v>0</v>
      </c>
      <c r="W216" s="1217">
        <f t="shared" si="57"/>
        <v>2.5693184754023566</v>
      </c>
    </row>
    <row r="217" spans="1:23">
      <c r="A217" s="1202" t="s">
        <v>659</v>
      </c>
      <c r="B217" s="1203"/>
      <c r="C217" s="1218"/>
      <c r="D217" s="1218"/>
      <c r="E217" s="1219"/>
      <c r="F217" s="1219"/>
      <c r="G217" s="1220"/>
      <c r="H217" s="1221"/>
      <c r="I217" s="1222"/>
      <c r="J217" s="1220"/>
      <c r="K217" s="1223"/>
      <c r="L217" s="1218"/>
      <c r="M217" s="1218"/>
      <c r="N217" s="1219"/>
      <c r="O217" s="1219"/>
      <c r="P217" s="1220"/>
      <c r="Q217" s="1221"/>
      <c r="R217" s="1219"/>
      <c r="S217" s="1224"/>
      <c r="T217" s="1194"/>
      <c r="U217" s="1195"/>
      <c r="V217" s="1195"/>
      <c r="W217" s="1196"/>
    </row>
    <row r="218" spans="1:23">
      <c r="A218" s="123">
        <f>'Input data'!A118</f>
        <v>2018</v>
      </c>
      <c r="B218" s="1208">
        <f>'Recycling - Case 3'!AI98</f>
        <v>3707.5235423427162</v>
      </c>
      <c r="C218" s="1209">
        <f>($C$222-$C$80)/($A$222-$A$80)+C80</f>
        <v>0.14000000000000001</v>
      </c>
      <c r="D218" s="1209">
        <f>1-C218</f>
        <v>0.86</v>
      </c>
      <c r="E218" s="53">
        <v>0</v>
      </c>
      <c r="F218" s="53">
        <v>0</v>
      </c>
      <c r="G218" s="776">
        <f>C218*$D$5*B218/1000-E218</f>
        <v>0.41524263674238426</v>
      </c>
      <c r="H218" s="519">
        <f>D218*$D$4*B218/1000-F218</f>
        <v>12.753880985658943</v>
      </c>
      <c r="I218" s="53"/>
      <c r="J218" s="776">
        <f>D218*$D$7*B218/1000</f>
        <v>0.76523285913953654</v>
      </c>
      <c r="K218" s="1210">
        <f>'Recycling - Case 3'!Z138</f>
        <v>1789.9687605419947</v>
      </c>
      <c r="L218" s="1209">
        <f>($L$222-$L$80)/($A$222-$A$80)+L80</f>
        <v>0.18</v>
      </c>
      <c r="M218" s="1209">
        <f>($M$222-$M$80)/($A$222-$A$80)+M80</f>
        <v>0.82000000000000006</v>
      </c>
      <c r="N218" s="53">
        <f t="shared" ref="N218:O233" si="66">N80</f>
        <v>0</v>
      </c>
      <c r="O218" s="53">
        <f t="shared" si="66"/>
        <v>0</v>
      </c>
      <c r="P218" s="776">
        <f t="shared" ref="P218:P250" si="67">L218*$D$5*K218/1000-N218</f>
        <v>0.25775550151804721</v>
      </c>
      <c r="Q218" s="519">
        <f t="shared" ref="Q218:Q250" si="68">M218*$D$4*K218/1000-O218</f>
        <v>5.8710975345777436</v>
      </c>
      <c r="R218" s="53"/>
      <c r="S218" s="1211">
        <f t="shared" ref="S218:S250" si="69">M218*$D$7*K218/1000</f>
        <v>0.35226585207466454</v>
      </c>
      <c r="T218" s="1198">
        <f t="shared" ref="T218:W250" si="70">G218+P218</f>
        <v>0.67299813826043153</v>
      </c>
      <c r="U218" s="1199">
        <f t="shared" si="70"/>
        <v>18.624978520236688</v>
      </c>
      <c r="V218" s="1199">
        <f t="shared" si="70"/>
        <v>0</v>
      </c>
      <c r="W218" s="1200">
        <f t="shared" si="70"/>
        <v>1.1174987112142012</v>
      </c>
    </row>
    <row r="219" spans="1:23">
      <c r="A219" s="123">
        <f>'Input data'!A119</f>
        <v>2019</v>
      </c>
      <c r="B219" s="1208">
        <f>'Recycling - Case 3'!AI99</f>
        <v>4010.8720893729233</v>
      </c>
      <c r="C219" s="1209">
        <f>($C$222-$C$80)/($A$222-$A$80)+C218</f>
        <v>0.23</v>
      </c>
      <c r="D219" s="1209">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0">
        <f>'Recycling - Case 3'!Z139</f>
        <v>2572.2972467623063</v>
      </c>
      <c r="L219" s="1209">
        <f>($L$222-$L$80)/($A$222-$A$80)+L218</f>
        <v>0.26</v>
      </c>
      <c r="M219" s="1209">
        <f>($M$222-$M$80)/($A$222-$A$80)+M218</f>
        <v>0.7400000000000001</v>
      </c>
      <c r="N219" s="53">
        <f t="shared" si="66"/>
        <v>0</v>
      </c>
      <c r="O219" s="53">
        <f t="shared" si="66"/>
        <v>0</v>
      </c>
      <c r="P219" s="776">
        <f t="shared" si="67"/>
        <v>0.5350378273265598</v>
      </c>
      <c r="Q219" s="519">
        <f t="shared" si="68"/>
        <v>7.6139998504164277</v>
      </c>
      <c r="R219" s="53"/>
      <c r="S219" s="1211">
        <f t="shared" si="69"/>
        <v>0.45683999102498563</v>
      </c>
      <c r="T219" s="1198">
        <f t="shared" si="70"/>
        <v>1.2730382917711778</v>
      </c>
      <c r="U219" s="1199">
        <f t="shared" si="70"/>
        <v>19.967485885685033</v>
      </c>
      <c r="V219" s="1199">
        <f t="shared" si="70"/>
        <v>0</v>
      </c>
      <c r="W219" s="1200">
        <f t="shared" si="70"/>
        <v>1.1980491531411017</v>
      </c>
    </row>
    <row r="220" spans="1:23">
      <c r="A220" s="123">
        <f>'Input data'!A120</f>
        <v>2020</v>
      </c>
      <c r="B220" s="1208">
        <f>'Recycling - Case 3'!AI100</f>
        <v>4617.5691834333375</v>
      </c>
      <c r="C220" s="1209">
        <f>($C$222-$C$80)/($A$222-$A$80)+C219</f>
        <v>0.32</v>
      </c>
      <c r="D220" s="1209">
        <f t="shared" si="71"/>
        <v>0.67999999999999994</v>
      </c>
      <c r="E220" s="53">
        <v>0</v>
      </c>
      <c r="F220" s="53">
        <v>0</v>
      </c>
      <c r="G220" s="776">
        <f t="shared" si="72"/>
        <v>1.1820977109589343</v>
      </c>
      <c r="H220" s="519">
        <f t="shared" si="73"/>
        <v>12.559788178938678</v>
      </c>
      <c r="I220" s="53"/>
      <c r="J220" s="776">
        <f t="shared" si="74"/>
        <v>0.75358729073632058</v>
      </c>
      <c r="K220" s="1210">
        <f>'Recycling - Case 3'!Z140</f>
        <v>2567.1213118810192</v>
      </c>
      <c r="L220" s="1209">
        <f>($L$222-$L$80)/($A$222-$A$80)+L219</f>
        <v>0.34</v>
      </c>
      <c r="M220" s="1209">
        <f>($M$222-$M$80)/($A$222-$A$80)+M219</f>
        <v>0.66000000000000014</v>
      </c>
      <c r="N220" s="53">
        <f t="shared" si="66"/>
        <v>0</v>
      </c>
      <c r="O220" s="53">
        <f t="shared" si="66"/>
        <v>0</v>
      </c>
      <c r="P220" s="776">
        <f t="shared" si="67"/>
        <v>0.69825699683163722</v>
      </c>
      <c r="Q220" s="519">
        <f t="shared" si="68"/>
        <v>6.7772002633658923</v>
      </c>
      <c r="R220" s="53"/>
      <c r="S220" s="1211">
        <f t="shared" si="69"/>
        <v>0.40663201580195357</v>
      </c>
      <c r="T220" s="1198">
        <f t="shared" si="70"/>
        <v>1.8803547077905716</v>
      </c>
      <c r="U220" s="1199">
        <f t="shared" si="70"/>
        <v>19.33698844230457</v>
      </c>
      <c r="V220" s="1199">
        <f t="shared" si="70"/>
        <v>0</v>
      </c>
      <c r="W220" s="1200">
        <f t="shared" si="70"/>
        <v>1.1602193065382742</v>
      </c>
    </row>
    <row r="221" spans="1:23">
      <c r="A221" s="123">
        <f>'Input data'!A121</f>
        <v>2021</v>
      </c>
      <c r="B221" s="1208">
        <f>'Recycling - Case 3'!AI101</f>
        <v>5830.9633715541659</v>
      </c>
      <c r="C221" s="1209">
        <f>($C$222-$C$80)/($A$222-$A$80)+C220</f>
        <v>0.41000000000000003</v>
      </c>
      <c r="D221" s="1209">
        <f t="shared" si="71"/>
        <v>0.59</v>
      </c>
      <c r="E221" s="53">
        <v>0</v>
      </c>
      <c r="F221" s="53">
        <v>0</v>
      </c>
      <c r="G221" s="776">
        <f t="shared" si="72"/>
        <v>1.9125559858697667</v>
      </c>
      <c r="H221" s="519">
        <f t="shared" si="73"/>
        <v>13.76107355686783</v>
      </c>
      <c r="I221" s="53"/>
      <c r="J221" s="776">
        <f t="shared" si="74"/>
        <v>0.82566441341206975</v>
      </c>
      <c r="K221" s="1210">
        <f>'Recycling - Case 3'!Z141</f>
        <v>2937.7655654826231</v>
      </c>
      <c r="L221" s="1209">
        <f>($L$222-$L$80)/($A$222-$A$80)+L220</f>
        <v>0.42000000000000004</v>
      </c>
      <c r="M221" s="1209">
        <f>($M$222-$M$80)/($A$222-$A$80)+M220</f>
        <v>0.58000000000000018</v>
      </c>
      <c r="N221" s="53">
        <f t="shared" si="66"/>
        <v>0</v>
      </c>
      <c r="O221" s="53">
        <f t="shared" si="66"/>
        <v>0</v>
      </c>
      <c r="P221" s="776">
        <f t="shared" si="67"/>
        <v>0.98708923000216153</v>
      </c>
      <c r="Q221" s="519">
        <f t="shared" si="68"/>
        <v>6.8156161119196881</v>
      </c>
      <c r="R221" s="53"/>
      <c r="S221" s="1211">
        <f t="shared" si="69"/>
        <v>0.40893696671518126</v>
      </c>
      <c r="T221" s="1198">
        <f t="shared" si="70"/>
        <v>2.8996452158719284</v>
      </c>
      <c r="U221" s="1199">
        <f t="shared" si="70"/>
        <v>20.576689668787516</v>
      </c>
      <c r="V221" s="1199">
        <f t="shared" si="70"/>
        <v>0</v>
      </c>
      <c r="W221" s="1200">
        <f t="shared" si="70"/>
        <v>1.2346013801272511</v>
      </c>
    </row>
    <row r="222" spans="1:23">
      <c r="A222" s="123">
        <f>'Input data'!A122</f>
        <v>2022</v>
      </c>
      <c r="B222" s="1208">
        <f>'Recycling - Case 3'!AI102</f>
        <v>6437.6604656145792</v>
      </c>
      <c r="C222" s="1209">
        <f>'Recycling - Case 3'!G31</f>
        <v>0.5</v>
      </c>
      <c r="D222" s="1209">
        <f>'Recycling - Case 3'!H31</f>
        <v>0.5</v>
      </c>
      <c r="E222" s="53">
        <v>0</v>
      </c>
      <c r="F222" s="53">
        <v>0</v>
      </c>
      <c r="G222" s="776">
        <f t="shared" si="72"/>
        <v>2.5750641862458319</v>
      </c>
      <c r="H222" s="519">
        <f t="shared" si="73"/>
        <v>12.875320931229158</v>
      </c>
      <c r="I222" s="53"/>
      <c r="J222" s="776">
        <f t="shared" si="74"/>
        <v>0.77251925587374948</v>
      </c>
      <c r="K222" s="1210">
        <f>'Recycling - Case 3'!Z142</f>
        <v>3143.3394376331189</v>
      </c>
      <c r="L222" s="1209">
        <f>'Recycling - Case 3'!G31</f>
        <v>0.5</v>
      </c>
      <c r="M222" s="1209">
        <f>'Recycling - Case 3'!H31</f>
        <v>0.5</v>
      </c>
      <c r="N222" s="53">
        <f t="shared" si="66"/>
        <v>0</v>
      </c>
      <c r="O222" s="53">
        <f t="shared" si="66"/>
        <v>0</v>
      </c>
      <c r="P222" s="776">
        <f t="shared" si="67"/>
        <v>1.2573357750532477</v>
      </c>
      <c r="Q222" s="519">
        <f t="shared" si="68"/>
        <v>6.2866788752662375</v>
      </c>
      <c r="R222" s="53"/>
      <c r="S222" s="1211">
        <f t="shared" si="69"/>
        <v>0.37720073251597425</v>
      </c>
      <c r="T222" s="1198">
        <f t="shared" si="70"/>
        <v>3.8323999612990796</v>
      </c>
      <c r="U222" s="1199">
        <f t="shared" si="70"/>
        <v>19.161999806495395</v>
      </c>
      <c r="V222" s="1199">
        <f t="shared" si="70"/>
        <v>0</v>
      </c>
      <c r="W222" s="1200">
        <f t="shared" si="70"/>
        <v>1.1497199883897238</v>
      </c>
    </row>
    <row r="223" spans="1:23">
      <c r="A223" s="123">
        <f>'Input data'!A123</f>
        <v>2023</v>
      </c>
      <c r="B223" s="1208">
        <f>'Recycling - Case 3'!AI103</f>
        <v>6437.6604656145792</v>
      </c>
      <c r="C223" s="1209">
        <f>C222</f>
        <v>0.5</v>
      </c>
      <c r="D223" s="1209">
        <f>D222</f>
        <v>0.5</v>
      </c>
      <c r="E223" s="53">
        <v>0</v>
      </c>
      <c r="F223" s="53">
        <v>0</v>
      </c>
      <c r="G223" s="776">
        <f t="shared" si="72"/>
        <v>2.5750641862458319</v>
      </c>
      <c r="H223" s="519">
        <f t="shared" si="73"/>
        <v>12.875320931229158</v>
      </c>
      <c r="I223" s="53"/>
      <c r="J223" s="776">
        <f t="shared" si="74"/>
        <v>0.77251925587374948</v>
      </c>
      <c r="K223" s="1210">
        <f>'Recycling - Case 3'!Z143</f>
        <v>3193.7786150741408</v>
      </c>
      <c r="L223" s="1209">
        <f>L222</f>
        <v>0.5</v>
      </c>
      <c r="M223" s="1209">
        <f>M222</f>
        <v>0.5</v>
      </c>
      <c r="N223" s="53">
        <f t="shared" si="66"/>
        <v>0</v>
      </c>
      <c r="O223" s="53">
        <f t="shared" si="66"/>
        <v>0</v>
      </c>
      <c r="P223" s="776">
        <f t="shared" si="67"/>
        <v>1.2775114460296564</v>
      </c>
      <c r="Q223" s="519">
        <f t="shared" si="68"/>
        <v>6.3875572301482819</v>
      </c>
      <c r="R223" s="53"/>
      <c r="S223" s="1211">
        <f t="shared" si="69"/>
        <v>0.38325343380889687</v>
      </c>
      <c r="T223" s="1198">
        <f t="shared" si="70"/>
        <v>3.8525756322754883</v>
      </c>
      <c r="U223" s="1199">
        <f t="shared" si="70"/>
        <v>19.26287816137744</v>
      </c>
      <c r="V223" s="1199">
        <f t="shared" si="70"/>
        <v>0</v>
      </c>
      <c r="W223" s="1200">
        <f t="shared" si="70"/>
        <v>1.1557726896826463</v>
      </c>
    </row>
    <row r="224" spans="1:23">
      <c r="A224" s="123">
        <f>'Input data'!A124</f>
        <v>2024</v>
      </c>
      <c r="B224" s="1208">
        <f>'Recycling - Case 3'!AI104</f>
        <v>6437.6604656145792</v>
      </c>
      <c r="C224" s="1209">
        <f t="shared" ref="C224:D239" si="75">C223</f>
        <v>0.5</v>
      </c>
      <c r="D224" s="1209">
        <f t="shared" si="75"/>
        <v>0.5</v>
      </c>
      <c r="E224" s="53">
        <v>0</v>
      </c>
      <c r="F224" s="53">
        <v>0</v>
      </c>
      <c r="G224" s="776">
        <f t="shared" si="72"/>
        <v>2.5750641862458319</v>
      </c>
      <c r="H224" s="519">
        <f t="shared" si="73"/>
        <v>12.875320931229158</v>
      </c>
      <c r="I224" s="53"/>
      <c r="J224" s="776">
        <f t="shared" si="74"/>
        <v>0.77251925587374948</v>
      </c>
      <c r="K224" s="1210">
        <f>'Recycling - Case 3'!Z144</f>
        <v>3247.9631140768552</v>
      </c>
      <c r="L224" s="1209">
        <f t="shared" ref="L224:M239" si="76">L223</f>
        <v>0.5</v>
      </c>
      <c r="M224" s="1209">
        <f t="shared" si="76"/>
        <v>0.5</v>
      </c>
      <c r="N224" s="53">
        <f t="shared" si="66"/>
        <v>0</v>
      </c>
      <c r="O224" s="53">
        <f t="shared" si="66"/>
        <v>0</v>
      </c>
      <c r="P224" s="776">
        <f t="shared" si="67"/>
        <v>1.2991852456307422</v>
      </c>
      <c r="Q224" s="519">
        <f t="shared" si="68"/>
        <v>6.49592622815371</v>
      </c>
      <c r="R224" s="53"/>
      <c r="S224" s="1211">
        <f t="shared" si="69"/>
        <v>0.38975557368922259</v>
      </c>
      <c r="T224" s="1198">
        <f t="shared" si="70"/>
        <v>3.8742494318765743</v>
      </c>
      <c r="U224" s="1199">
        <f t="shared" si="70"/>
        <v>19.371247159382868</v>
      </c>
      <c r="V224" s="1199">
        <f t="shared" si="70"/>
        <v>0</v>
      </c>
      <c r="W224" s="1200">
        <f t="shared" si="70"/>
        <v>1.1622748295629721</v>
      </c>
    </row>
    <row r="225" spans="1:23">
      <c r="A225" s="123">
        <f>'Input data'!A125</f>
        <v>2025</v>
      </c>
      <c r="B225" s="1208">
        <f>'Recycling - Case 3'!AI105</f>
        <v>6437.6604656145792</v>
      </c>
      <c r="C225" s="1209">
        <f t="shared" si="75"/>
        <v>0.5</v>
      </c>
      <c r="D225" s="1209">
        <f t="shared" si="75"/>
        <v>0.5</v>
      </c>
      <c r="E225" s="53">
        <v>0</v>
      </c>
      <c r="F225" s="53">
        <v>0</v>
      </c>
      <c r="G225" s="776">
        <f t="shared" si="72"/>
        <v>2.5750641862458319</v>
      </c>
      <c r="H225" s="519">
        <f t="shared" si="73"/>
        <v>12.875320931229158</v>
      </c>
      <c r="I225" s="53"/>
      <c r="J225" s="776">
        <f t="shared" si="74"/>
        <v>0.77251925587374948</v>
      </c>
      <c r="K225" s="1210">
        <f>'Recycling - Case 3'!Z145</f>
        <v>3295.6393491706608</v>
      </c>
      <c r="L225" s="1209">
        <f t="shared" si="76"/>
        <v>0.5</v>
      </c>
      <c r="M225" s="1209">
        <f t="shared" si="76"/>
        <v>0.5</v>
      </c>
      <c r="N225" s="53">
        <f t="shared" si="66"/>
        <v>0</v>
      </c>
      <c r="O225" s="53">
        <f t="shared" si="66"/>
        <v>0</v>
      </c>
      <c r="P225" s="776">
        <f t="shared" si="67"/>
        <v>1.3182557396682644</v>
      </c>
      <c r="Q225" s="519">
        <f t="shared" si="68"/>
        <v>6.5912786983413216</v>
      </c>
      <c r="R225" s="53"/>
      <c r="S225" s="1211">
        <f t="shared" si="69"/>
        <v>0.39547672190047928</v>
      </c>
      <c r="T225" s="1198">
        <f t="shared" si="70"/>
        <v>3.8933199259140965</v>
      </c>
      <c r="U225" s="1199">
        <f t="shared" si="70"/>
        <v>19.466599629570482</v>
      </c>
      <c r="V225" s="1199">
        <f t="shared" si="70"/>
        <v>0</v>
      </c>
      <c r="W225" s="1200">
        <f t="shared" si="70"/>
        <v>1.1679959777742288</v>
      </c>
    </row>
    <row r="226" spans="1:23">
      <c r="A226" s="123">
        <f>'Input data'!A126</f>
        <v>2026</v>
      </c>
      <c r="B226" s="1208">
        <f>'Recycling - Case 3'!AI106</f>
        <v>6437.6604656145792</v>
      </c>
      <c r="C226" s="1209">
        <f t="shared" si="75"/>
        <v>0.5</v>
      </c>
      <c r="D226" s="1209">
        <f t="shared" si="75"/>
        <v>0.5</v>
      </c>
      <c r="E226" s="53">
        <v>0</v>
      </c>
      <c r="F226" s="53">
        <v>0</v>
      </c>
      <c r="G226" s="776">
        <f t="shared" si="72"/>
        <v>2.5750641862458319</v>
      </c>
      <c r="H226" s="519">
        <f t="shared" si="73"/>
        <v>12.875320931229158</v>
      </c>
      <c r="I226" s="53"/>
      <c r="J226" s="776">
        <f t="shared" si="74"/>
        <v>0.77251925587374948</v>
      </c>
      <c r="K226" s="1210">
        <f>'Recycling - Case 3'!Z146</f>
        <v>3339.4558089478387</v>
      </c>
      <c r="L226" s="1209">
        <f t="shared" si="76"/>
        <v>0.5</v>
      </c>
      <c r="M226" s="1209">
        <f t="shared" si="76"/>
        <v>0.5</v>
      </c>
      <c r="N226" s="53">
        <f t="shared" si="66"/>
        <v>0</v>
      </c>
      <c r="O226" s="53">
        <f t="shared" si="66"/>
        <v>0</v>
      </c>
      <c r="P226" s="776">
        <f t="shared" si="67"/>
        <v>1.3357823235791357</v>
      </c>
      <c r="Q226" s="519">
        <f t="shared" si="68"/>
        <v>6.6789116178956771</v>
      </c>
      <c r="R226" s="53"/>
      <c r="S226" s="1211">
        <f t="shared" si="69"/>
        <v>0.4007346970737406</v>
      </c>
      <c r="T226" s="1198">
        <f t="shared" si="70"/>
        <v>3.9108465098249674</v>
      </c>
      <c r="U226" s="1199">
        <f t="shared" si="70"/>
        <v>19.554232549124833</v>
      </c>
      <c r="V226" s="1199">
        <f t="shared" si="70"/>
        <v>0</v>
      </c>
      <c r="W226" s="1200">
        <f t="shared" si="70"/>
        <v>1.1732539529474901</v>
      </c>
    </row>
    <row r="227" spans="1:23">
      <c r="A227" s="123">
        <f>'Input data'!A127</f>
        <v>2027</v>
      </c>
      <c r="B227" s="1208">
        <f>'Recycling - Case 3'!AI107</f>
        <v>6437.6604656145792</v>
      </c>
      <c r="C227" s="1209">
        <f t="shared" si="75"/>
        <v>0.5</v>
      </c>
      <c r="D227" s="1209">
        <f t="shared" si="75"/>
        <v>0.5</v>
      </c>
      <c r="E227" s="53">
        <v>0</v>
      </c>
      <c r="F227" s="53">
        <v>0</v>
      </c>
      <c r="G227" s="776">
        <f t="shared" si="72"/>
        <v>2.5750641862458319</v>
      </c>
      <c r="H227" s="519">
        <f t="shared" si="73"/>
        <v>12.875320931229158</v>
      </c>
      <c r="I227" s="53"/>
      <c r="J227" s="776">
        <f t="shared" si="74"/>
        <v>0.77251925587374948</v>
      </c>
      <c r="K227" s="1210">
        <f>'Recycling - Case 3'!Z147</f>
        <v>3379.7386694672964</v>
      </c>
      <c r="L227" s="1209">
        <f t="shared" si="76"/>
        <v>0.5</v>
      </c>
      <c r="M227" s="1209">
        <f t="shared" si="76"/>
        <v>0.5</v>
      </c>
      <c r="N227" s="53">
        <f t="shared" si="66"/>
        <v>0</v>
      </c>
      <c r="O227" s="53">
        <f t="shared" si="66"/>
        <v>0</v>
      </c>
      <c r="P227" s="776">
        <f t="shared" si="67"/>
        <v>1.3518954677869188</v>
      </c>
      <c r="Q227" s="519">
        <f t="shared" si="68"/>
        <v>6.7594773389345928</v>
      </c>
      <c r="R227" s="53"/>
      <c r="S227" s="1211">
        <f t="shared" si="69"/>
        <v>0.40556864033607554</v>
      </c>
      <c r="T227" s="1198">
        <f t="shared" si="70"/>
        <v>3.9269596540327507</v>
      </c>
      <c r="U227" s="1199">
        <f t="shared" si="70"/>
        <v>19.634798270163749</v>
      </c>
      <c r="V227" s="1199">
        <f t="shared" si="70"/>
        <v>0</v>
      </c>
      <c r="W227" s="1200">
        <f t="shared" si="70"/>
        <v>1.1780878962098251</v>
      </c>
    </row>
    <row r="228" spans="1:23">
      <c r="A228" s="123">
        <f>'Input data'!A128</f>
        <v>2028</v>
      </c>
      <c r="B228" s="1208">
        <f>'Recycling - Case 3'!AI108</f>
        <v>6437.6604656145792</v>
      </c>
      <c r="C228" s="1209">
        <f t="shared" si="75"/>
        <v>0.5</v>
      </c>
      <c r="D228" s="1209">
        <f t="shared" si="75"/>
        <v>0.5</v>
      </c>
      <c r="E228" s="53">
        <v>0</v>
      </c>
      <c r="F228" s="53">
        <v>0</v>
      </c>
      <c r="G228" s="776">
        <f t="shared" si="72"/>
        <v>2.5750641862458319</v>
      </c>
      <c r="H228" s="519">
        <f t="shared" si="73"/>
        <v>12.875320931229158</v>
      </c>
      <c r="I228" s="53"/>
      <c r="J228" s="776">
        <f t="shared" si="74"/>
        <v>0.77251925587374948</v>
      </c>
      <c r="K228" s="1210">
        <f>'Recycling - Case 3'!Z148</f>
        <v>3426.3883095687434</v>
      </c>
      <c r="L228" s="1209">
        <f t="shared" si="76"/>
        <v>0.5</v>
      </c>
      <c r="M228" s="1209">
        <f t="shared" si="76"/>
        <v>0.5</v>
      </c>
      <c r="N228" s="53">
        <f t="shared" si="66"/>
        <v>0</v>
      </c>
      <c r="O228" s="53">
        <f t="shared" si="66"/>
        <v>0</v>
      </c>
      <c r="P228" s="776">
        <f t="shared" si="67"/>
        <v>1.3705553238274975</v>
      </c>
      <c r="Q228" s="519">
        <f t="shared" si="68"/>
        <v>6.8527766191374866</v>
      </c>
      <c r="R228" s="53"/>
      <c r="S228" s="1211">
        <f t="shared" si="69"/>
        <v>0.41116659714824921</v>
      </c>
      <c r="T228" s="1198">
        <f t="shared" si="70"/>
        <v>3.9456195100733291</v>
      </c>
      <c r="U228" s="1199">
        <f t="shared" si="70"/>
        <v>19.728097550366645</v>
      </c>
      <c r="V228" s="1199">
        <f t="shared" si="70"/>
        <v>0</v>
      </c>
      <c r="W228" s="1200">
        <f t="shared" si="70"/>
        <v>1.1836858530219987</v>
      </c>
    </row>
    <row r="229" spans="1:23">
      <c r="A229" s="123">
        <f>'Input data'!A129</f>
        <v>2029</v>
      </c>
      <c r="B229" s="1208">
        <f>'Recycling - Case 3'!AI109</f>
        <v>6437.6604656145792</v>
      </c>
      <c r="C229" s="1209">
        <f t="shared" si="75"/>
        <v>0.5</v>
      </c>
      <c r="D229" s="1209">
        <f t="shared" si="75"/>
        <v>0.5</v>
      </c>
      <c r="E229" s="53">
        <v>0</v>
      </c>
      <c r="F229" s="53">
        <v>0</v>
      </c>
      <c r="G229" s="776">
        <f t="shared" si="72"/>
        <v>2.5750641862458319</v>
      </c>
      <c r="H229" s="519">
        <f t="shared" si="73"/>
        <v>12.875320931229158</v>
      </c>
      <c r="I229" s="53"/>
      <c r="J229" s="776">
        <f t="shared" si="74"/>
        <v>0.77251925587374948</v>
      </c>
      <c r="K229" s="1210">
        <f>'Recycling - Case 3'!Z149</f>
        <v>3485.8660805942818</v>
      </c>
      <c r="L229" s="1209">
        <f t="shared" si="76"/>
        <v>0.5</v>
      </c>
      <c r="M229" s="1209">
        <f t="shared" si="76"/>
        <v>0.5</v>
      </c>
      <c r="N229" s="53">
        <f t="shared" si="66"/>
        <v>0</v>
      </c>
      <c r="O229" s="53">
        <f t="shared" si="66"/>
        <v>0</v>
      </c>
      <c r="P229" s="776">
        <f t="shared" si="67"/>
        <v>1.3943464322377128</v>
      </c>
      <c r="Q229" s="519">
        <f t="shared" si="68"/>
        <v>6.9717321611885632</v>
      </c>
      <c r="R229" s="53"/>
      <c r="S229" s="1211">
        <f t="shared" si="69"/>
        <v>0.4183039296713138</v>
      </c>
      <c r="T229" s="1198">
        <f t="shared" si="70"/>
        <v>3.9694106184835447</v>
      </c>
      <c r="U229" s="1199">
        <f t="shared" si="70"/>
        <v>19.84705309241772</v>
      </c>
      <c r="V229" s="1199">
        <f t="shared" si="70"/>
        <v>0</v>
      </c>
      <c r="W229" s="1200">
        <f t="shared" si="70"/>
        <v>1.1908231855450633</v>
      </c>
    </row>
    <row r="230" spans="1:23">
      <c r="A230" s="123">
        <f>'Input data'!A130</f>
        <v>2030</v>
      </c>
      <c r="B230" s="1208">
        <f>'Recycling - Case 3'!AI110</f>
        <v>6437.6604656145792</v>
      </c>
      <c r="C230" s="1209">
        <f t="shared" si="75"/>
        <v>0.5</v>
      </c>
      <c r="D230" s="1209">
        <f t="shared" si="75"/>
        <v>0.5</v>
      </c>
      <c r="E230" s="53">
        <v>0</v>
      </c>
      <c r="F230" s="53">
        <v>0</v>
      </c>
      <c r="G230" s="776">
        <f t="shared" si="72"/>
        <v>2.5750641862458319</v>
      </c>
      <c r="H230" s="519">
        <f t="shared" si="73"/>
        <v>12.875320931229158</v>
      </c>
      <c r="I230" s="53"/>
      <c r="J230" s="776">
        <f t="shared" si="74"/>
        <v>0.77251925587374948</v>
      </c>
      <c r="K230" s="1210">
        <f>'Recycling - Case 3'!Z150</f>
        <v>3538.217660793739</v>
      </c>
      <c r="L230" s="1209">
        <f t="shared" si="76"/>
        <v>0.5</v>
      </c>
      <c r="M230" s="1209">
        <f t="shared" si="76"/>
        <v>0.5</v>
      </c>
      <c r="N230" s="53">
        <f t="shared" si="66"/>
        <v>0</v>
      </c>
      <c r="O230" s="53">
        <f t="shared" si="66"/>
        <v>0</v>
      </c>
      <c r="P230" s="776">
        <f t="shared" si="67"/>
        <v>1.4152870643174955</v>
      </c>
      <c r="Q230" s="519">
        <f t="shared" si="68"/>
        <v>7.0764353215874785</v>
      </c>
      <c r="R230" s="53"/>
      <c r="S230" s="1211">
        <f t="shared" si="69"/>
        <v>0.4245861192952487</v>
      </c>
      <c r="T230" s="1198">
        <f t="shared" si="70"/>
        <v>3.9903512505633274</v>
      </c>
      <c r="U230" s="1199">
        <f t="shared" si="70"/>
        <v>19.951756252816637</v>
      </c>
      <c r="V230" s="1199">
        <f t="shared" si="70"/>
        <v>0</v>
      </c>
      <c r="W230" s="1200">
        <f t="shared" si="70"/>
        <v>1.1971053751689982</v>
      </c>
    </row>
    <row r="231" spans="1:23">
      <c r="A231" s="123">
        <f>'Input data'!A131</f>
        <v>2031</v>
      </c>
      <c r="B231" s="1208">
        <f>'Recycling - Case 3'!AI111</f>
        <v>6437.6604656145792</v>
      </c>
      <c r="C231" s="1209">
        <f t="shared" si="75"/>
        <v>0.5</v>
      </c>
      <c r="D231" s="1209">
        <f t="shared" si="75"/>
        <v>0.5</v>
      </c>
      <c r="E231" s="53">
        <v>0</v>
      </c>
      <c r="F231" s="53">
        <v>0</v>
      </c>
      <c r="G231" s="776">
        <f t="shared" si="72"/>
        <v>2.5750641862458319</v>
      </c>
      <c r="H231" s="519">
        <f t="shared" si="73"/>
        <v>12.875320931229158</v>
      </c>
      <c r="I231" s="53"/>
      <c r="J231" s="776">
        <f t="shared" si="74"/>
        <v>0.77251925587374948</v>
      </c>
      <c r="K231" s="1210">
        <f>'Recycling - Case 3'!Z151</f>
        <v>3504.1852978367515</v>
      </c>
      <c r="L231" s="1209">
        <f t="shared" si="76"/>
        <v>0.5</v>
      </c>
      <c r="M231" s="1209">
        <f t="shared" si="76"/>
        <v>0.5</v>
      </c>
      <c r="N231" s="53">
        <f t="shared" si="66"/>
        <v>0</v>
      </c>
      <c r="O231" s="53">
        <f t="shared" si="66"/>
        <v>0</v>
      </c>
      <c r="P231" s="776">
        <f t="shared" si="67"/>
        <v>1.4016741191347006</v>
      </c>
      <c r="Q231" s="519">
        <f t="shared" si="68"/>
        <v>7.0083705956735027</v>
      </c>
      <c r="R231" s="53"/>
      <c r="S231" s="1211">
        <f t="shared" si="69"/>
        <v>0.42050223574041018</v>
      </c>
      <c r="T231" s="1198">
        <f t="shared" si="70"/>
        <v>3.9767383053805325</v>
      </c>
      <c r="U231" s="1199">
        <f t="shared" si="70"/>
        <v>19.883691526902659</v>
      </c>
      <c r="V231" s="1199">
        <f t="shared" si="70"/>
        <v>0</v>
      </c>
      <c r="W231" s="1200">
        <f t="shared" si="70"/>
        <v>1.1930214916141597</v>
      </c>
    </row>
    <row r="232" spans="1:23">
      <c r="A232" s="123">
        <f>'Input data'!A132</f>
        <v>2032</v>
      </c>
      <c r="B232" s="1208">
        <f>'Recycling - Case 3'!AI112</f>
        <v>6437.6604656145792</v>
      </c>
      <c r="C232" s="1209">
        <f t="shared" si="75"/>
        <v>0.5</v>
      </c>
      <c r="D232" s="1209">
        <f t="shared" si="75"/>
        <v>0.5</v>
      </c>
      <c r="E232" s="53">
        <v>0</v>
      </c>
      <c r="F232" s="53">
        <v>0</v>
      </c>
      <c r="G232" s="776">
        <f t="shared" si="72"/>
        <v>2.5750641862458319</v>
      </c>
      <c r="H232" s="519">
        <f t="shared" si="73"/>
        <v>12.875320931229158</v>
      </c>
      <c r="I232" s="53"/>
      <c r="J232" s="776">
        <f t="shared" si="74"/>
        <v>0.77251925587374948</v>
      </c>
      <c r="K232" s="1210">
        <f>'Recycling - Case 3'!Z152</f>
        <v>3598.6028123457536</v>
      </c>
      <c r="L232" s="1209">
        <f t="shared" si="76"/>
        <v>0.5</v>
      </c>
      <c r="M232" s="1209">
        <f t="shared" si="76"/>
        <v>0.5</v>
      </c>
      <c r="N232" s="53">
        <f t="shared" si="66"/>
        <v>0</v>
      </c>
      <c r="O232" s="53">
        <f t="shared" si="66"/>
        <v>0</v>
      </c>
      <c r="P232" s="776">
        <f t="shared" si="67"/>
        <v>1.4394411249383015</v>
      </c>
      <c r="Q232" s="519">
        <f t="shared" si="68"/>
        <v>7.1972056246915068</v>
      </c>
      <c r="R232" s="53"/>
      <c r="S232" s="1211">
        <f t="shared" si="69"/>
        <v>0.43183233748149041</v>
      </c>
      <c r="T232" s="1198">
        <f t="shared" si="70"/>
        <v>4.0145053111841333</v>
      </c>
      <c r="U232" s="1199">
        <f t="shared" si="70"/>
        <v>20.072526555920664</v>
      </c>
      <c r="V232" s="1199">
        <f t="shared" si="70"/>
        <v>0</v>
      </c>
      <c r="W232" s="1200">
        <f t="shared" si="70"/>
        <v>1.20435159335524</v>
      </c>
    </row>
    <row r="233" spans="1:23">
      <c r="A233" s="123">
        <f>'Input data'!A133</f>
        <v>2033</v>
      </c>
      <c r="B233" s="1208">
        <f>'Recycling - Case 3'!AI113</f>
        <v>6437.6604656145792</v>
      </c>
      <c r="C233" s="1209">
        <f t="shared" si="75"/>
        <v>0.5</v>
      </c>
      <c r="D233" s="1209">
        <f t="shared" si="75"/>
        <v>0.5</v>
      </c>
      <c r="E233" s="53">
        <v>0</v>
      </c>
      <c r="F233" s="53">
        <v>0</v>
      </c>
      <c r="G233" s="776">
        <f t="shared" si="72"/>
        <v>2.5750641862458319</v>
      </c>
      <c r="H233" s="519">
        <f t="shared" si="73"/>
        <v>12.875320931229158</v>
      </c>
      <c r="I233" s="53"/>
      <c r="J233" s="776">
        <f t="shared" si="74"/>
        <v>0.77251925587374948</v>
      </c>
      <c r="K233" s="1210">
        <f>'Recycling - Case 3'!Z153</f>
        <v>3689.9033028722483</v>
      </c>
      <c r="L233" s="1209">
        <f t="shared" si="76"/>
        <v>0.5</v>
      </c>
      <c r="M233" s="1209">
        <f t="shared" si="76"/>
        <v>0.5</v>
      </c>
      <c r="N233" s="53">
        <f t="shared" si="66"/>
        <v>0</v>
      </c>
      <c r="O233" s="53">
        <f t="shared" si="66"/>
        <v>0</v>
      </c>
      <c r="P233" s="776">
        <f t="shared" si="67"/>
        <v>1.4759613211488996</v>
      </c>
      <c r="Q233" s="519">
        <f t="shared" si="68"/>
        <v>7.3798066057444967</v>
      </c>
      <c r="R233" s="53"/>
      <c r="S233" s="1211">
        <f t="shared" si="69"/>
        <v>0.44278839634466977</v>
      </c>
      <c r="T233" s="1198">
        <f t="shared" si="70"/>
        <v>4.0510255073947317</v>
      </c>
      <c r="U233" s="1199">
        <f t="shared" si="70"/>
        <v>20.255127536973653</v>
      </c>
      <c r="V233" s="1199">
        <f t="shared" si="70"/>
        <v>0</v>
      </c>
      <c r="W233" s="1200">
        <f t="shared" si="70"/>
        <v>1.2153076522184192</v>
      </c>
    </row>
    <row r="234" spans="1:23">
      <c r="A234" s="123">
        <f>'Input data'!A134</f>
        <v>2034</v>
      </c>
      <c r="B234" s="1208">
        <f>'Recycling - Case 3'!AI114</f>
        <v>6437.6604656145792</v>
      </c>
      <c r="C234" s="1209">
        <f t="shared" si="75"/>
        <v>0.5</v>
      </c>
      <c r="D234" s="1209">
        <f t="shared" si="75"/>
        <v>0.5</v>
      </c>
      <c r="E234" s="53">
        <v>0</v>
      </c>
      <c r="F234" s="53">
        <v>0</v>
      </c>
      <c r="G234" s="776">
        <f t="shared" si="72"/>
        <v>2.5750641862458319</v>
      </c>
      <c r="H234" s="519">
        <f t="shared" si="73"/>
        <v>12.875320931229158</v>
      </c>
      <c r="I234" s="53"/>
      <c r="J234" s="776">
        <f t="shared" si="74"/>
        <v>0.77251925587374948</v>
      </c>
      <c r="K234" s="1210">
        <f>'Recycling - Case 3'!Z154</f>
        <v>3802.1747903841533</v>
      </c>
      <c r="L234" s="1209">
        <f t="shared" si="76"/>
        <v>0.5</v>
      </c>
      <c r="M234" s="1209">
        <f t="shared" si="76"/>
        <v>0.5</v>
      </c>
      <c r="N234" s="53">
        <f t="shared" ref="N234:O249" si="77">N96</f>
        <v>0</v>
      </c>
      <c r="O234" s="53">
        <f t="shared" si="77"/>
        <v>0</v>
      </c>
      <c r="P234" s="776">
        <f t="shared" si="67"/>
        <v>1.5208699161536614</v>
      </c>
      <c r="Q234" s="519">
        <f t="shared" si="68"/>
        <v>7.6043495807683064</v>
      </c>
      <c r="R234" s="53"/>
      <c r="S234" s="1211">
        <f t="shared" si="69"/>
        <v>0.4562609748460984</v>
      </c>
      <c r="T234" s="1198">
        <f t="shared" si="70"/>
        <v>4.0959341023994931</v>
      </c>
      <c r="U234" s="1199">
        <f t="shared" si="70"/>
        <v>20.479670511997465</v>
      </c>
      <c r="V234" s="1199">
        <f t="shared" si="70"/>
        <v>0</v>
      </c>
      <c r="W234" s="1200">
        <f t="shared" si="70"/>
        <v>1.2287802307198479</v>
      </c>
    </row>
    <row r="235" spans="1:23">
      <c r="A235" s="123">
        <f>'Input data'!A135</f>
        <v>2035</v>
      </c>
      <c r="B235" s="1208">
        <f>'Recycling - Case 3'!AI115</f>
        <v>6437.6604656145792</v>
      </c>
      <c r="C235" s="1209">
        <f t="shared" si="75"/>
        <v>0.5</v>
      </c>
      <c r="D235" s="1209">
        <f t="shared" si="75"/>
        <v>0.5</v>
      </c>
      <c r="E235" s="53">
        <v>0</v>
      </c>
      <c r="F235" s="53">
        <v>0</v>
      </c>
      <c r="G235" s="776">
        <f t="shared" si="72"/>
        <v>2.5750641862458319</v>
      </c>
      <c r="H235" s="519">
        <f t="shared" si="73"/>
        <v>12.875320931229158</v>
      </c>
      <c r="I235" s="53"/>
      <c r="J235" s="776">
        <f t="shared" si="74"/>
        <v>0.77251925587374948</v>
      </c>
      <c r="K235" s="1210">
        <f>'Recycling - Case 3'!Z155</f>
        <v>3897.4519949695709</v>
      </c>
      <c r="L235" s="1209">
        <f t="shared" si="76"/>
        <v>0.5</v>
      </c>
      <c r="M235" s="1209">
        <f t="shared" si="76"/>
        <v>0.5</v>
      </c>
      <c r="N235" s="53">
        <f t="shared" si="77"/>
        <v>0</v>
      </c>
      <c r="O235" s="53">
        <f t="shared" si="77"/>
        <v>0</v>
      </c>
      <c r="P235" s="776">
        <f t="shared" si="67"/>
        <v>1.5589807979878285</v>
      </c>
      <c r="Q235" s="519">
        <f t="shared" si="68"/>
        <v>7.7949039899391419</v>
      </c>
      <c r="R235" s="53"/>
      <c r="S235" s="1211">
        <f t="shared" si="69"/>
        <v>0.46769423939634852</v>
      </c>
      <c r="T235" s="1198">
        <f t="shared" si="70"/>
        <v>4.1340449842336602</v>
      </c>
      <c r="U235" s="1199">
        <f t="shared" si="70"/>
        <v>20.670224921168298</v>
      </c>
      <c r="V235" s="1199">
        <f t="shared" si="70"/>
        <v>0</v>
      </c>
      <c r="W235" s="1200">
        <f t="shared" si="70"/>
        <v>1.2402134952700981</v>
      </c>
    </row>
    <row r="236" spans="1:23">
      <c r="A236" s="123">
        <f>'Input data'!A136</f>
        <v>2036</v>
      </c>
      <c r="B236" s="1208">
        <f>'Recycling - Case 3'!AI116</f>
        <v>6437.6604656145792</v>
      </c>
      <c r="C236" s="1209">
        <f t="shared" si="75"/>
        <v>0.5</v>
      </c>
      <c r="D236" s="1209">
        <f t="shared" si="75"/>
        <v>0.5</v>
      </c>
      <c r="E236" s="53">
        <v>0</v>
      </c>
      <c r="F236" s="53">
        <v>0</v>
      </c>
      <c r="G236" s="776">
        <f t="shared" si="72"/>
        <v>2.5750641862458319</v>
      </c>
      <c r="H236" s="519">
        <f t="shared" si="73"/>
        <v>12.875320931229158</v>
      </c>
      <c r="I236" s="53"/>
      <c r="J236" s="776">
        <f t="shared" si="74"/>
        <v>0.77251925587374948</v>
      </c>
      <c r="K236" s="1210">
        <f>'Recycling - Case 3'!Z156</f>
        <v>3992.1553192580318</v>
      </c>
      <c r="L236" s="1209">
        <f t="shared" si="76"/>
        <v>0.5</v>
      </c>
      <c r="M236" s="1209">
        <f t="shared" si="76"/>
        <v>0.5</v>
      </c>
      <c r="N236" s="53">
        <f t="shared" si="77"/>
        <v>0</v>
      </c>
      <c r="O236" s="53">
        <f t="shared" si="77"/>
        <v>0</v>
      </c>
      <c r="P236" s="776">
        <f t="shared" si="67"/>
        <v>1.5968621277032127</v>
      </c>
      <c r="Q236" s="519">
        <f t="shared" si="68"/>
        <v>7.9843106385160638</v>
      </c>
      <c r="R236" s="53"/>
      <c r="S236" s="1211">
        <f t="shared" si="69"/>
        <v>0.47905863831096379</v>
      </c>
      <c r="T236" s="1198">
        <f t="shared" si="70"/>
        <v>4.1719263139490446</v>
      </c>
      <c r="U236" s="1199">
        <f t="shared" si="70"/>
        <v>20.859631569745222</v>
      </c>
      <c r="V236" s="1199">
        <f t="shared" si="70"/>
        <v>0</v>
      </c>
      <c r="W236" s="1200">
        <f t="shared" si="70"/>
        <v>1.2515778941847133</v>
      </c>
    </row>
    <row r="237" spans="1:23">
      <c r="A237" s="123">
        <f>'Input data'!A137</f>
        <v>2037</v>
      </c>
      <c r="B237" s="1208">
        <f>'Recycling - Case 3'!AI117</f>
        <v>6437.6604656145792</v>
      </c>
      <c r="C237" s="1209">
        <f t="shared" si="75"/>
        <v>0.5</v>
      </c>
      <c r="D237" s="1209">
        <f t="shared" si="75"/>
        <v>0.5</v>
      </c>
      <c r="E237" s="53">
        <v>0</v>
      </c>
      <c r="F237" s="53">
        <v>0</v>
      </c>
      <c r="G237" s="776">
        <f t="shared" si="72"/>
        <v>2.5750641862458319</v>
      </c>
      <c r="H237" s="519">
        <f t="shared" si="73"/>
        <v>12.875320931229158</v>
      </c>
      <c r="I237" s="53"/>
      <c r="J237" s="776">
        <f t="shared" si="74"/>
        <v>0.77251925587374948</v>
      </c>
      <c r="K237" s="1210">
        <f>'Recycling - Case 3'!Z157</f>
        <v>4095.1250637445028</v>
      </c>
      <c r="L237" s="1209">
        <f t="shared" si="76"/>
        <v>0.5</v>
      </c>
      <c r="M237" s="1209">
        <f t="shared" si="76"/>
        <v>0.5</v>
      </c>
      <c r="N237" s="53">
        <f t="shared" si="77"/>
        <v>0</v>
      </c>
      <c r="O237" s="53">
        <f t="shared" si="77"/>
        <v>0</v>
      </c>
      <c r="P237" s="776">
        <f t="shared" si="67"/>
        <v>1.6380500254978012</v>
      </c>
      <c r="Q237" s="519">
        <f t="shared" si="68"/>
        <v>8.1902501274890049</v>
      </c>
      <c r="R237" s="53"/>
      <c r="S237" s="1211">
        <f t="shared" si="69"/>
        <v>0.49141500764934032</v>
      </c>
      <c r="T237" s="1198">
        <f t="shared" si="70"/>
        <v>4.2131142117436333</v>
      </c>
      <c r="U237" s="1199">
        <f t="shared" si="70"/>
        <v>21.065571058718163</v>
      </c>
      <c r="V237" s="1199">
        <f t="shared" si="70"/>
        <v>0</v>
      </c>
      <c r="W237" s="1200">
        <f t="shared" si="70"/>
        <v>1.2639342635230899</v>
      </c>
    </row>
    <row r="238" spans="1:23">
      <c r="A238" s="123">
        <f>'Input data'!A138</f>
        <v>2038</v>
      </c>
      <c r="B238" s="1208">
        <f>'Recycling - Case 3'!AI118</f>
        <v>6437.6604656145792</v>
      </c>
      <c r="C238" s="1209">
        <f t="shared" si="75"/>
        <v>0.5</v>
      </c>
      <c r="D238" s="1209">
        <f t="shared" si="75"/>
        <v>0.5</v>
      </c>
      <c r="E238" s="53">
        <v>0</v>
      </c>
      <c r="F238" s="53">
        <v>0</v>
      </c>
      <c r="G238" s="776">
        <f t="shared" si="72"/>
        <v>2.5750641862458319</v>
      </c>
      <c r="H238" s="519">
        <f t="shared" si="73"/>
        <v>12.875320931229158</v>
      </c>
      <c r="I238" s="53"/>
      <c r="J238" s="776">
        <f t="shared" si="74"/>
        <v>0.77251925587374948</v>
      </c>
      <c r="K238" s="1210">
        <f>'Recycling - Case 3'!Z158</f>
        <v>4195.0479450616976</v>
      </c>
      <c r="L238" s="1209">
        <f t="shared" si="76"/>
        <v>0.5</v>
      </c>
      <c r="M238" s="1209">
        <f t="shared" si="76"/>
        <v>0.5</v>
      </c>
      <c r="N238" s="53">
        <f t="shared" si="77"/>
        <v>0</v>
      </c>
      <c r="O238" s="53">
        <f t="shared" si="77"/>
        <v>0</v>
      </c>
      <c r="P238" s="776">
        <f t="shared" si="67"/>
        <v>1.6780191780246791</v>
      </c>
      <c r="Q238" s="519">
        <f t="shared" si="68"/>
        <v>8.390095890123396</v>
      </c>
      <c r="R238" s="53"/>
      <c r="S238" s="1211">
        <f t="shared" si="69"/>
        <v>0.50340575340740368</v>
      </c>
      <c r="T238" s="1198">
        <f t="shared" si="70"/>
        <v>4.2530833642705108</v>
      </c>
      <c r="U238" s="1199">
        <f t="shared" si="70"/>
        <v>21.265416821352552</v>
      </c>
      <c r="V238" s="1199">
        <f t="shared" si="70"/>
        <v>0</v>
      </c>
      <c r="W238" s="1200">
        <f t="shared" si="70"/>
        <v>1.2759250092811532</v>
      </c>
    </row>
    <row r="239" spans="1:23">
      <c r="A239" s="123">
        <f>'Input data'!A139</f>
        <v>2039</v>
      </c>
      <c r="B239" s="1208">
        <f>'Recycling - Case 3'!AI119</f>
        <v>6437.6604656145792</v>
      </c>
      <c r="C239" s="1209">
        <f t="shared" si="75"/>
        <v>0.5</v>
      </c>
      <c r="D239" s="1209">
        <f t="shared" si="75"/>
        <v>0.5</v>
      </c>
      <c r="E239" s="53">
        <v>0</v>
      </c>
      <c r="F239" s="53">
        <v>0</v>
      </c>
      <c r="G239" s="776">
        <f t="shared" si="72"/>
        <v>2.5750641862458319</v>
      </c>
      <c r="H239" s="519">
        <f t="shared" si="73"/>
        <v>12.875320931229158</v>
      </c>
      <c r="I239" s="53"/>
      <c r="J239" s="776">
        <f t="shared" si="74"/>
        <v>0.77251925587374948</v>
      </c>
      <c r="K239" s="1210">
        <f>'Recycling - Case 3'!Z159</f>
        <v>4297.1410898359891</v>
      </c>
      <c r="L239" s="1209">
        <f t="shared" si="76"/>
        <v>0.5</v>
      </c>
      <c r="M239" s="1209">
        <f t="shared" si="76"/>
        <v>0.5</v>
      </c>
      <c r="N239" s="53">
        <f t="shared" si="77"/>
        <v>0</v>
      </c>
      <c r="O239" s="53">
        <f t="shared" si="77"/>
        <v>0</v>
      </c>
      <c r="P239" s="776">
        <f t="shared" si="67"/>
        <v>1.7188564359343956</v>
      </c>
      <c r="Q239" s="519">
        <f t="shared" si="68"/>
        <v>8.5942821796719784</v>
      </c>
      <c r="R239" s="53"/>
      <c r="S239" s="1211">
        <f t="shared" si="69"/>
        <v>0.51565693078031871</v>
      </c>
      <c r="T239" s="1198">
        <f t="shared" si="70"/>
        <v>4.2939206221802273</v>
      </c>
      <c r="U239" s="1199">
        <f t="shared" si="70"/>
        <v>21.469603110901136</v>
      </c>
      <c r="V239" s="1199">
        <f t="shared" si="70"/>
        <v>0</v>
      </c>
      <c r="W239" s="1200">
        <f t="shared" si="70"/>
        <v>1.2881761866540682</v>
      </c>
    </row>
    <row r="240" spans="1:23">
      <c r="A240" s="123">
        <f>'Input data'!A140</f>
        <v>2040</v>
      </c>
      <c r="B240" s="1208">
        <f>'Recycling - Case 3'!AI120</f>
        <v>6437.6604656145792</v>
      </c>
      <c r="C240" s="1209">
        <f t="shared" ref="C240:D250" si="78">C239</f>
        <v>0.5</v>
      </c>
      <c r="D240" s="1209">
        <f t="shared" si="78"/>
        <v>0.5</v>
      </c>
      <c r="E240" s="53">
        <v>0</v>
      </c>
      <c r="F240" s="53">
        <v>0</v>
      </c>
      <c r="G240" s="776">
        <f t="shared" si="72"/>
        <v>2.5750641862458319</v>
      </c>
      <c r="H240" s="519">
        <f t="shared" si="73"/>
        <v>12.875320931229158</v>
      </c>
      <c r="I240" s="53"/>
      <c r="J240" s="776">
        <f t="shared" si="74"/>
        <v>0.77251925587374948</v>
      </c>
      <c r="K240" s="1210">
        <f>'Recycling - Case 3'!Z160</f>
        <v>4400.5229525333853</v>
      </c>
      <c r="L240" s="1209">
        <f t="shared" ref="L240:M250" si="79">L239</f>
        <v>0.5</v>
      </c>
      <c r="M240" s="1209">
        <f t="shared" si="79"/>
        <v>0.5</v>
      </c>
      <c r="N240" s="53">
        <f t="shared" si="77"/>
        <v>0</v>
      </c>
      <c r="O240" s="53">
        <f t="shared" si="77"/>
        <v>0</v>
      </c>
      <c r="P240" s="776">
        <f t="shared" si="67"/>
        <v>1.7602091810133542</v>
      </c>
      <c r="Q240" s="519">
        <f t="shared" si="68"/>
        <v>8.8010459050667702</v>
      </c>
      <c r="R240" s="53"/>
      <c r="S240" s="1211">
        <f t="shared" si="69"/>
        <v>0.52806275430400629</v>
      </c>
      <c r="T240" s="1198">
        <f t="shared" si="70"/>
        <v>4.3352733672591857</v>
      </c>
      <c r="U240" s="1199">
        <f t="shared" si="70"/>
        <v>21.676366836295927</v>
      </c>
      <c r="V240" s="1199">
        <f t="shared" si="70"/>
        <v>0</v>
      </c>
      <c r="W240" s="1200">
        <f t="shared" si="70"/>
        <v>1.3005820101777559</v>
      </c>
    </row>
    <row r="241" spans="1:23">
      <c r="A241" s="123">
        <f>'Input data'!A141</f>
        <v>2041</v>
      </c>
      <c r="B241" s="1208">
        <f>'Recycling - Case 3'!AI121</f>
        <v>6437.6604656145792</v>
      </c>
      <c r="C241" s="1209">
        <f t="shared" si="78"/>
        <v>0.5</v>
      </c>
      <c r="D241" s="1209">
        <f t="shared" si="78"/>
        <v>0.5</v>
      </c>
      <c r="E241" s="53">
        <v>0</v>
      </c>
      <c r="F241" s="53">
        <v>0</v>
      </c>
      <c r="G241" s="776">
        <f t="shared" si="72"/>
        <v>2.5750641862458319</v>
      </c>
      <c r="H241" s="519">
        <f t="shared" si="73"/>
        <v>12.875320931229158</v>
      </c>
      <c r="I241" s="53"/>
      <c r="J241" s="776">
        <f t="shared" si="74"/>
        <v>0.77251925587374948</v>
      </c>
      <c r="K241" s="1210">
        <f>'Recycling - Case 3'!Z161</f>
        <v>4514.6270989529849</v>
      </c>
      <c r="L241" s="1209">
        <f t="shared" si="79"/>
        <v>0.5</v>
      </c>
      <c r="M241" s="1209">
        <f t="shared" si="79"/>
        <v>0.5</v>
      </c>
      <c r="N241" s="53">
        <f t="shared" si="77"/>
        <v>0</v>
      </c>
      <c r="O241" s="53">
        <f t="shared" si="77"/>
        <v>0</v>
      </c>
      <c r="P241" s="776">
        <f t="shared" si="67"/>
        <v>1.8058508395811941</v>
      </c>
      <c r="Q241" s="519">
        <f t="shared" si="68"/>
        <v>9.0292541979059688</v>
      </c>
      <c r="R241" s="53"/>
      <c r="S241" s="1211">
        <f t="shared" si="69"/>
        <v>0.54175525187435813</v>
      </c>
      <c r="T241" s="1198">
        <f t="shared" si="70"/>
        <v>4.3809150258270257</v>
      </c>
      <c r="U241" s="1199">
        <f t="shared" si="70"/>
        <v>21.904575129135125</v>
      </c>
      <c r="V241" s="1199">
        <f t="shared" si="70"/>
        <v>0</v>
      </c>
      <c r="W241" s="1200">
        <f t="shared" si="70"/>
        <v>1.3142745077481077</v>
      </c>
    </row>
    <row r="242" spans="1:23">
      <c r="A242" s="123">
        <f>'Input data'!A142</f>
        <v>2042</v>
      </c>
      <c r="B242" s="1208">
        <f>'Recycling - Case 3'!AI122</f>
        <v>6437.6604656145792</v>
      </c>
      <c r="C242" s="1209">
        <f t="shared" si="78"/>
        <v>0.5</v>
      </c>
      <c r="D242" s="1209">
        <f t="shared" si="78"/>
        <v>0.5</v>
      </c>
      <c r="E242" s="53">
        <v>0</v>
      </c>
      <c r="F242" s="53">
        <v>0</v>
      </c>
      <c r="G242" s="776">
        <f t="shared" si="72"/>
        <v>2.5750641862458319</v>
      </c>
      <c r="H242" s="519">
        <f t="shared" si="73"/>
        <v>12.875320931229158</v>
      </c>
      <c r="I242" s="53"/>
      <c r="J242" s="776">
        <f t="shared" si="74"/>
        <v>0.77251925587374948</v>
      </c>
      <c r="K242" s="1210">
        <f>'Recycling - Case 3'!Z162</f>
        <v>4619.8617671313086</v>
      </c>
      <c r="L242" s="1209">
        <f t="shared" si="79"/>
        <v>0.5</v>
      </c>
      <c r="M242" s="1209">
        <f t="shared" si="79"/>
        <v>0.5</v>
      </c>
      <c r="N242" s="53">
        <f t="shared" si="77"/>
        <v>0</v>
      </c>
      <c r="O242" s="53">
        <f t="shared" si="77"/>
        <v>0</v>
      </c>
      <c r="P242" s="776">
        <f t="shared" si="67"/>
        <v>1.8479447068525234</v>
      </c>
      <c r="Q242" s="519">
        <f t="shared" si="68"/>
        <v>9.2397235342626178</v>
      </c>
      <c r="R242" s="53"/>
      <c r="S242" s="1211">
        <f t="shared" si="69"/>
        <v>0.55438341205575703</v>
      </c>
      <c r="T242" s="1198">
        <f t="shared" si="70"/>
        <v>4.4230088930983555</v>
      </c>
      <c r="U242" s="1199">
        <f t="shared" si="70"/>
        <v>22.115044465491778</v>
      </c>
      <c r="V242" s="1199">
        <f t="shared" si="70"/>
        <v>0</v>
      </c>
      <c r="W242" s="1200">
        <f t="shared" si="70"/>
        <v>1.3269026679295064</v>
      </c>
    </row>
    <row r="243" spans="1:23">
      <c r="A243" s="123">
        <f>'Input data'!A143</f>
        <v>2043</v>
      </c>
      <c r="B243" s="1208">
        <f>'Recycling - Case 3'!AI123</f>
        <v>6437.6604656145792</v>
      </c>
      <c r="C243" s="1209">
        <f t="shared" si="78"/>
        <v>0.5</v>
      </c>
      <c r="D243" s="1209">
        <f t="shared" si="78"/>
        <v>0.5</v>
      </c>
      <c r="E243" s="53">
        <v>0</v>
      </c>
      <c r="F243" s="53">
        <v>0</v>
      </c>
      <c r="G243" s="776">
        <f t="shared" si="72"/>
        <v>2.5750641862458319</v>
      </c>
      <c r="H243" s="519">
        <f t="shared" si="73"/>
        <v>12.875320931229158</v>
      </c>
      <c r="I243" s="53"/>
      <c r="J243" s="776">
        <f t="shared" si="74"/>
        <v>0.77251925587374948</v>
      </c>
      <c r="K243" s="1210">
        <f>'Recycling - Case 3'!Z163</f>
        <v>4725.2965994162041</v>
      </c>
      <c r="L243" s="1209">
        <f t="shared" si="79"/>
        <v>0.5</v>
      </c>
      <c r="M243" s="1209">
        <f t="shared" si="79"/>
        <v>0.5</v>
      </c>
      <c r="N243" s="53">
        <f t="shared" si="77"/>
        <v>0</v>
      </c>
      <c r="O243" s="53">
        <f t="shared" si="77"/>
        <v>0</v>
      </c>
      <c r="P243" s="776">
        <f t="shared" si="67"/>
        <v>1.8901186397664818</v>
      </c>
      <c r="Q243" s="519">
        <f t="shared" si="68"/>
        <v>9.4505931988324079</v>
      </c>
      <c r="R243" s="53"/>
      <c r="S243" s="1211">
        <f t="shared" si="69"/>
        <v>0.56703559192994446</v>
      </c>
      <c r="T243" s="1198">
        <f t="shared" si="70"/>
        <v>4.4651828260123132</v>
      </c>
      <c r="U243" s="1199">
        <f t="shared" si="70"/>
        <v>22.325914130061566</v>
      </c>
      <c r="V243" s="1199">
        <f t="shared" si="70"/>
        <v>0</v>
      </c>
      <c r="W243" s="1200">
        <f t="shared" si="70"/>
        <v>1.339554847803694</v>
      </c>
    </row>
    <row r="244" spans="1:23">
      <c r="A244" s="123">
        <f>'Input data'!A144</f>
        <v>2044</v>
      </c>
      <c r="B244" s="1208">
        <f>'Recycling - Case 3'!AI124</f>
        <v>6437.6604656145792</v>
      </c>
      <c r="C244" s="1209">
        <f t="shared" si="78"/>
        <v>0.5</v>
      </c>
      <c r="D244" s="1209">
        <f t="shared" si="78"/>
        <v>0.5</v>
      </c>
      <c r="E244" s="53">
        <v>0</v>
      </c>
      <c r="F244" s="53">
        <v>0</v>
      </c>
      <c r="G244" s="776">
        <f t="shared" si="72"/>
        <v>2.5750641862458319</v>
      </c>
      <c r="H244" s="519">
        <f t="shared" si="73"/>
        <v>12.875320931229158</v>
      </c>
      <c r="I244" s="53"/>
      <c r="J244" s="776">
        <f t="shared" si="74"/>
        <v>0.77251925587374948</v>
      </c>
      <c r="K244" s="1210">
        <f>'Recycling - Case 3'!Z164</f>
        <v>4833.0377582933197</v>
      </c>
      <c r="L244" s="1209">
        <f t="shared" si="79"/>
        <v>0.5</v>
      </c>
      <c r="M244" s="1209">
        <f t="shared" si="79"/>
        <v>0.5</v>
      </c>
      <c r="N244" s="53">
        <f t="shared" si="77"/>
        <v>0</v>
      </c>
      <c r="O244" s="53">
        <f t="shared" si="77"/>
        <v>0</v>
      </c>
      <c r="P244" s="776">
        <f t="shared" si="67"/>
        <v>1.9332151033173279</v>
      </c>
      <c r="Q244" s="519">
        <f t="shared" si="68"/>
        <v>9.6660755165866394</v>
      </c>
      <c r="R244" s="53"/>
      <c r="S244" s="1211">
        <f t="shared" si="69"/>
        <v>0.57996453099519829</v>
      </c>
      <c r="T244" s="1198">
        <f t="shared" si="70"/>
        <v>4.50827928956316</v>
      </c>
      <c r="U244" s="1199">
        <f t="shared" si="70"/>
        <v>22.541396447815799</v>
      </c>
      <c r="V244" s="1199">
        <f t="shared" si="70"/>
        <v>0</v>
      </c>
      <c r="W244" s="1200">
        <f t="shared" si="70"/>
        <v>1.3524837868689477</v>
      </c>
    </row>
    <row r="245" spans="1:23">
      <c r="A245" s="123">
        <f>'Input data'!A145</f>
        <v>2045</v>
      </c>
      <c r="B245" s="1208">
        <f>'Recycling - Case 3'!AI125</f>
        <v>6437.6604656145792</v>
      </c>
      <c r="C245" s="1209">
        <f t="shared" si="78"/>
        <v>0.5</v>
      </c>
      <c r="D245" s="1209">
        <f t="shared" si="78"/>
        <v>0.5</v>
      </c>
      <c r="E245" s="53">
        <v>0</v>
      </c>
      <c r="F245" s="53">
        <v>0</v>
      </c>
      <c r="G245" s="776">
        <f t="shared" si="72"/>
        <v>2.5750641862458319</v>
      </c>
      <c r="H245" s="519">
        <f t="shared" si="73"/>
        <v>12.875320931229158</v>
      </c>
      <c r="I245" s="53"/>
      <c r="J245" s="776">
        <f t="shared" si="74"/>
        <v>0.77251925587374948</v>
      </c>
      <c r="K245" s="1210">
        <f>'Recycling - Case 3'!Z165</f>
        <v>4943.8418730466392</v>
      </c>
      <c r="L245" s="1209">
        <f t="shared" si="79"/>
        <v>0.5</v>
      </c>
      <c r="M245" s="1209">
        <f t="shared" si="79"/>
        <v>0.5</v>
      </c>
      <c r="N245" s="53">
        <f t="shared" si="77"/>
        <v>0</v>
      </c>
      <c r="O245" s="53">
        <f t="shared" si="77"/>
        <v>0</v>
      </c>
      <c r="P245" s="776">
        <f t="shared" si="67"/>
        <v>1.9775367492186557</v>
      </c>
      <c r="Q245" s="519">
        <f t="shared" si="68"/>
        <v>9.8876837460932787</v>
      </c>
      <c r="R245" s="53"/>
      <c r="S245" s="1211">
        <f t="shared" si="69"/>
        <v>0.59326102476559661</v>
      </c>
      <c r="T245" s="1198">
        <f t="shared" si="70"/>
        <v>4.5526009354644881</v>
      </c>
      <c r="U245" s="1199">
        <f t="shared" si="70"/>
        <v>22.763004677322435</v>
      </c>
      <c r="V245" s="1199">
        <f t="shared" si="70"/>
        <v>0</v>
      </c>
      <c r="W245" s="1200">
        <f t="shared" si="70"/>
        <v>1.365780280639346</v>
      </c>
    </row>
    <row r="246" spans="1:23">
      <c r="A246" s="123">
        <f>'Input data'!A146</f>
        <v>2046</v>
      </c>
      <c r="B246" s="1208">
        <f>'Recycling - Case 3'!AI126</f>
        <v>6437.6604656145792</v>
      </c>
      <c r="C246" s="1209">
        <f t="shared" si="78"/>
        <v>0.5</v>
      </c>
      <c r="D246" s="1209">
        <f t="shared" si="78"/>
        <v>0.5</v>
      </c>
      <c r="E246" s="53">
        <v>0</v>
      </c>
      <c r="F246" s="53">
        <v>0</v>
      </c>
      <c r="G246" s="776">
        <f t="shared" si="72"/>
        <v>2.5750641862458319</v>
      </c>
      <c r="H246" s="519">
        <f t="shared" si="73"/>
        <v>12.875320931229158</v>
      </c>
      <c r="I246" s="53"/>
      <c r="J246" s="776">
        <f t="shared" si="74"/>
        <v>0.77251925587374948</v>
      </c>
      <c r="K246" s="1210">
        <f>'Recycling - Case 3'!Z166</f>
        <v>5067.2658790898813</v>
      </c>
      <c r="L246" s="1209">
        <f t="shared" si="79"/>
        <v>0.5</v>
      </c>
      <c r="M246" s="1209">
        <f t="shared" si="79"/>
        <v>0.5</v>
      </c>
      <c r="N246" s="53">
        <f t="shared" si="77"/>
        <v>0</v>
      </c>
      <c r="O246" s="53">
        <f t="shared" si="77"/>
        <v>0</v>
      </c>
      <c r="P246" s="776">
        <f t="shared" si="67"/>
        <v>2.0269063516359527</v>
      </c>
      <c r="Q246" s="519">
        <f t="shared" si="68"/>
        <v>10.134531758179763</v>
      </c>
      <c r="R246" s="53"/>
      <c r="S246" s="1211">
        <f t="shared" si="69"/>
        <v>0.60807190549078571</v>
      </c>
      <c r="T246" s="1198">
        <f t="shared" si="70"/>
        <v>4.601970537881785</v>
      </c>
      <c r="U246" s="1199">
        <f t="shared" si="70"/>
        <v>23.009852689408923</v>
      </c>
      <c r="V246" s="1199">
        <f t="shared" si="70"/>
        <v>0</v>
      </c>
      <c r="W246" s="1200">
        <f t="shared" si="70"/>
        <v>1.3805911613645352</v>
      </c>
    </row>
    <row r="247" spans="1:23">
      <c r="A247" s="123">
        <f>'Input data'!A147</f>
        <v>2047</v>
      </c>
      <c r="B247" s="1208">
        <f>'Recycling - Case 3'!AI127</f>
        <v>6437.6604656145792</v>
      </c>
      <c r="C247" s="1209">
        <f t="shared" si="78"/>
        <v>0.5</v>
      </c>
      <c r="D247" s="1209">
        <f t="shared" si="78"/>
        <v>0.5</v>
      </c>
      <c r="E247" s="53">
        <v>0</v>
      </c>
      <c r="F247" s="53">
        <v>0</v>
      </c>
      <c r="G247" s="776">
        <f t="shared" si="72"/>
        <v>2.5750641862458319</v>
      </c>
      <c r="H247" s="519">
        <f t="shared" si="73"/>
        <v>12.875320931229158</v>
      </c>
      <c r="I247" s="53"/>
      <c r="J247" s="776">
        <f t="shared" si="74"/>
        <v>0.77251925587374948</v>
      </c>
      <c r="K247" s="1210">
        <f>'Recycling - Case 3'!Z167</f>
        <v>5163.6864504210689</v>
      </c>
      <c r="L247" s="1209">
        <f t="shared" si="79"/>
        <v>0.5</v>
      </c>
      <c r="M247" s="1209">
        <f t="shared" si="79"/>
        <v>0.5</v>
      </c>
      <c r="N247" s="53">
        <f t="shared" si="77"/>
        <v>0</v>
      </c>
      <c r="O247" s="53">
        <f t="shared" si="77"/>
        <v>0</v>
      </c>
      <c r="P247" s="776">
        <f t="shared" si="67"/>
        <v>2.0654745801684276</v>
      </c>
      <c r="Q247" s="519">
        <f t="shared" si="68"/>
        <v>10.327372900842137</v>
      </c>
      <c r="R247" s="53"/>
      <c r="S247" s="1211">
        <f t="shared" si="69"/>
        <v>0.61964237405052824</v>
      </c>
      <c r="T247" s="1198">
        <f t="shared" si="70"/>
        <v>4.6405387664142594</v>
      </c>
      <c r="U247" s="1199">
        <f t="shared" si="70"/>
        <v>23.202693832071297</v>
      </c>
      <c r="V247" s="1199">
        <f t="shared" si="70"/>
        <v>0</v>
      </c>
      <c r="W247" s="1200">
        <f t="shared" si="70"/>
        <v>1.3921616299242778</v>
      </c>
    </row>
    <row r="248" spans="1:23">
      <c r="A248" s="123">
        <f>'Input data'!A148</f>
        <v>2048</v>
      </c>
      <c r="B248" s="1208">
        <f>'Recycling - Case 3'!AI128</f>
        <v>6437.6604656145792</v>
      </c>
      <c r="C248" s="1209">
        <f t="shared" si="78"/>
        <v>0.5</v>
      </c>
      <c r="D248" s="1209">
        <f t="shared" si="78"/>
        <v>0.5</v>
      </c>
      <c r="E248" s="53">
        <v>0</v>
      </c>
      <c r="F248" s="53">
        <v>0</v>
      </c>
      <c r="G248" s="776">
        <f t="shared" si="72"/>
        <v>2.5750641862458319</v>
      </c>
      <c r="H248" s="519">
        <f t="shared" si="73"/>
        <v>12.875320931229158</v>
      </c>
      <c r="I248" s="53"/>
      <c r="J248" s="776">
        <f t="shared" si="74"/>
        <v>0.77251925587374948</v>
      </c>
      <c r="K248" s="1210">
        <f>'Recycling - Case 3'!Z168</f>
        <v>5262.5257223033932</v>
      </c>
      <c r="L248" s="1209">
        <f t="shared" si="79"/>
        <v>0.5</v>
      </c>
      <c r="M248" s="1209">
        <f t="shared" si="79"/>
        <v>0.5</v>
      </c>
      <c r="N248" s="53">
        <f t="shared" si="77"/>
        <v>0</v>
      </c>
      <c r="O248" s="53">
        <f t="shared" si="77"/>
        <v>0</v>
      </c>
      <c r="P248" s="776">
        <f t="shared" si="67"/>
        <v>2.1050102889213571</v>
      </c>
      <c r="Q248" s="519">
        <f t="shared" si="68"/>
        <v>10.525051444606786</v>
      </c>
      <c r="R248" s="53"/>
      <c r="S248" s="1211">
        <f t="shared" si="69"/>
        <v>0.6315030866764072</v>
      </c>
      <c r="T248" s="1198">
        <f t="shared" si="70"/>
        <v>4.6800744751671886</v>
      </c>
      <c r="U248" s="1199">
        <f t="shared" si="70"/>
        <v>23.400372375835943</v>
      </c>
      <c r="V248" s="1199">
        <f t="shared" si="70"/>
        <v>0</v>
      </c>
      <c r="W248" s="1200">
        <f t="shared" si="70"/>
        <v>1.4040223425501566</v>
      </c>
    </row>
    <row r="249" spans="1:23">
      <c r="A249" s="123">
        <f>'Input data'!A149</f>
        <v>2049</v>
      </c>
      <c r="B249" s="1208">
        <f>'Recycling - Case 3'!AI129</f>
        <v>6437.6604656145792</v>
      </c>
      <c r="C249" s="1209">
        <f t="shared" si="78"/>
        <v>0.5</v>
      </c>
      <c r="D249" s="1209">
        <f t="shared" si="78"/>
        <v>0.5</v>
      </c>
      <c r="E249" s="53">
        <v>0</v>
      </c>
      <c r="F249" s="53">
        <v>0</v>
      </c>
      <c r="G249" s="776">
        <f t="shared" si="72"/>
        <v>2.5750641862458319</v>
      </c>
      <c r="H249" s="519">
        <f t="shared" si="73"/>
        <v>12.875320931229158</v>
      </c>
      <c r="I249" s="53"/>
      <c r="J249" s="776">
        <f t="shared" si="74"/>
        <v>0.77251925587374948</v>
      </c>
      <c r="K249" s="1210">
        <f>'Recycling - Case 3'!Z169</f>
        <v>5358.4864389974309</v>
      </c>
      <c r="L249" s="1209">
        <f t="shared" si="79"/>
        <v>0.5</v>
      </c>
      <c r="M249" s="1209">
        <f t="shared" si="79"/>
        <v>0.5</v>
      </c>
      <c r="N249" s="53">
        <f t="shared" si="77"/>
        <v>0</v>
      </c>
      <c r="O249" s="53">
        <f t="shared" si="77"/>
        <v>0</v>
      </c>
      <c r="P249" s="776">
        <f t="shared" si="67"/>
        <v>2.1433945755989727</v>
      </c>
      <c r="Q249" s="519">
        <f t="shared" si="68"/>
        <v>10.716972877994861</v>
      </c>
      <c r="R249" s="53"/>
      <c r="S249" s="1211">
        <f t="shared" si="69"/>
        <v>0.64301837267969164</v>
      </c>
      <c r="T249" s="1198">
        <f t="shared" si="70"/>
        <v>4.7184587618448042</v>
      </c>
      <c r="U249" s="1199">
        <f t="shared" si="70"/>
        <v>23.592293809224017</v>
      </c>
      <c r="V249" s="1199">
        <f t="shared" si="70"/>
        <v>0</v>
      </c>
      <c r="W249" s="1200">
        <f t="shared" si="70"/>
        <v>1.4155376285534411</v>
      </c>
    </row>
    <row r="250" spans="1:23" ht="15.75" thickBot="1">
      <c r="A250" s="123">
        <f>'Input data'!A150</f>
        <v>2050</v>
      </c>
      <c r="B250" s="1208">
        <f>'Recycling - Case 3'!AI130</f>
        <v>6437.6604656145792</v>
      </c>
      <c r="C250" s="576">
        <f t="shared" si="78"/>
        <v>0.5</v>
      </c>
      <c r="D250" s="576">
        <f t="shared" si="78"/>
        <v>0.5</v>
      </c>
      <c r="E250" s="58">
        <v>0</v>
      </c>
      <c r="F250" s="58">
        <v>0</v>
      </c>
      <c r="G250" s="1365">
        <f t="shared" si="72"/>
        <v>2.5750641862458319</v>
      </c>
      <c r="H250" s="1102">
        <f t="shared" si="73"/>
        <v>12.875320931229158</v>
      </c>
      <c r="I250" s="58"/>
      <c r="J250" s="1365">
        <f t="shared" si="74"/>
        <v>0.77251925587374948</v>
      </c>
      <c r="K250" s="1210">
        <f>'Recycling - Case 3'!Z170</f>
        <v>5457.3324760629976</v>
      </c>
      <c r="L250" s="578">
        <f t="shared" si="79"/>
        <v>0.5</v>
      </c>
      <c r="M250" s="578">
        <f t="shared" si="79"/>
        <v>0.5</v>
      </c>
      <c r="N250" s="1212">
        <f t="shared" ref="N250:O250" si="80">N112</f>
        <v>0</v>
      </c>
      <c r="O250" s="1212">
        <f t="shared" si="80"/>
        <v>0</v>
      </c>
      <c r="P250" s="1213">
        <f t="shared" si="67"/>
        <v>2.1829329904251988</v>
      </c>
      <c r="Q250" s="1144">
        <f t="shared" si="68"/>
        <v>10.914664952125996</v>
      </c>
      <c r="R250" s="1212"/>
      <c r="S250" s="1214">
        <f t="shared" si="69"/>
        <v>0.65487989712755978</v>
      </c>
      <c r="T250" s="1215">
        <f t="shared" si="70"/>
        <v>4.7579971766710312</v>
      </c>
      <c r="U250" s="1216">
        <f t="shared" si="70"/>
        <v>23.789985883355154</v>
      </c>
      <c r="V250" s="1216">
        <f t="shared" si="70"/>
        <v>0</v>
      </c>
      <c r="W250" s="1217">
        <f t="shared" si="70"/>
        <v>1.4273991530013093</v>
      </c>
    </row>
    <row r="251" spans="1:23">
      <c r="A251" s="1362" t="s">
        <v>655</v>
      </c>
      <c r="B251" s="1207"/>
      <c r="C251" s="1218"/>
      <c r="D251" s="1218"/>
      <c r="E251" s="1219"/>
      <c r="F251" s="1219"/>
      <c r="G251" s="1220"/>
      <c r="H251" s="1221"/>
      <c r="I251" s="1222"/>
      <c r="J251" s="1224"/>
      <c r="K251" s="1221"/>
      <c r="L251" s="1218"/>
      <c r="M251" s="1218"/>
      <c r="N251" s="1219"/>
      <c r="O251" s="1219"/>
      <c r="P251" s="1220"/>
      <c r="Q251" s="1221"/>
      <c r="R251" s="1219"/>
      <c r="S251" s="1224"/>
      <c r="T251" s="1194"/>
      <c r="U251" s="1195"/>
      <c r="V251" s="1195"/>
      <c r="W251" s="1196"/>
    </row>
    <row r="252" spans="1:23">
      <c r="A252" s="466">
        <f>'Input data'!A118</f>
        <v>2018</v>
      </c>
      <c r="B252" s="1366">
        <f>'Recycling - Case 3'!AI98</f>
        <v>3707.5235423427162</v>
      </c>
      <c r="C252" s="576">
        <f>($C$256-$C$80)/($A$256-$A$80)+C80</f>
        <v>0.14000000000000001</v>
      </c>
      <c r="D252" s="576">
        <f>1-C252</f>
        <v>0.86</v>
      </c>
      <c r="E252" s="58">
        <v>0</v>
      </c>
      <c r="F252" s="58">
        <v>0</v>
      </c>
      <c r="G252" s="1365">
        <f>C252*$D$5*B252/1000-E252</f>
        <v>0.41524263674238426</v>
      </c>
      <c r="H252" s="1102">
        <f>D252*$D$4*B252/1000-F252</f>
        <v>12.753880985658943</v>
      </c>
      <c r="I252" s="58"/>
      <c r="J252" s="1211">
        <f>D252*$D$7*B252/1000</f>
        <v>0.76523285913953654</v>
      </c>
      <c r="K252" s="1364">
        <f>'Recycling - Case 3'!Z178</f>
        <v>1789.9687605419947</v>
      </c>
      <c r="L252" s="576">
        <f>($L$256-$L$80)/($A$256-$A$80)+L80</f>
        <v>0.18</v>
      </c>
      <c r="M252" s="576">
        <f>1-L252</f>
        <v>0.82000000000000006</v>
      </c>
      <c r="N252" s="58">
        <f t="shared" ref="N252:O267" si="81">N114</f>
        <v>0</v>
      </c>
      <c r="O252" s="58">
        <f t="shared" si="81"/>
        <v>0</v>
      </c>
      <c r="P252" s="1365">
        <f t="shared" ref="P252:P284" si="82">L252*$D$5*K252/1000-N252</f>
        <v>0.25775550151804721</v>
      </c>
      <c r="Q252" s="1102">
        <f t="shared" ref="Q252:Q284" si="83">M252*$D$4*K252/1000-O252</f>
        <v>5.8710975345777436</v>
      </c>
      <c r="R252" s="58"/>
      <c r="S252" s="1211">
        <f t="shared" ref="S252:S284" si="84">M252*$D$7*K252/1000</f>
        <v>0.35226585207466454</v>
      </c>
      <c r="T252" s="1198">
        <f t="shared" ref="T252:W284" si="85">G252+P252</f>
        <v>0.67299813826043153</v>
      </c>
      <c r="U252" s="1613">
        <f t="shared" si="85"/>
        <v>18.624978520236688</v>
      </c>
      <c r="V252" s="1613">
        <f t="shared" si="85"/>
        <v>0</v>
      </c>
      <c r="W252" s="1200">
        <f t="shared" si="85"/>
        <v>1.1174987112142012</v>
      </c>
    </row>
    <row r="253" spans="1:23">
      <c r="A253" s="466">
        <f>'Input data'!A119</f>
        <v>2019</v>
      </c>
      <c r="B253" s="1366">
        <f>'Recycling - Case 3'!AI99</f>
        <v>4010.8720893729233</v>
      </c>
      <c r="C253" s="576">
        <f>($C$256-$C$80)/($A$256-$A$80)+C252</f>
        <v>0.23</v>
      </c>
      <c r="D253" s="576">
        <f t="shared" ref="D253:D284" si="86">1-C253</f>
        <v>0.77</v>
      </c>
      <c r="E253" s="58">
        <v>0</v>
      </c>
      <c r="F253" s="58">
        <v>0</v>
      </c>
      <c r="G253" s="1365">
        <f t="shared" ref="G253:G284" si="87">C253*$D$5*B253/1000-E253</f>
        <v>0.73800046444461798</v>
      </c>
      <c r="H253" s="1102">
        <f t="shared" ref="H253:H284" si="88">D253*$D$4*B253/1000-F253</f>
        <v>12.353486035268604</v>
      </c>
      <c r="I253" s="58"/>
      <c r="J253" s="1211">
        <f t="shared" ref="J253:J284" si="89">D253*$D$7*B253/1000</f>
        <v>0.7412091621161162</v>
      </c>
      <c r="K253" s="1364">
        <f>'Recycling - Case 3'!Z179</f>
        <v>2572.2972467623063</v>
      </c>
      <c r="L253" s="576">
        <f>($L$256-$L$80)/($A$256-$A$80)+L252</f>
        <v>0.26</v>
      </c>
      <c r="M253" s="576">
        <f t="shared" ref="M253:M284" si="90">1-L253</f>
        <v>0.74</v>
      </c>
      <c r="N253" s="58">
        <f t="shared" si="81"/>
        <v>0</v>
      </c>
      <c r="O253" s="58">
        <f t="shared" si="81"/>
        <v>0</v>
      </c>
      <c r="P253" s="1365">
        <f t="shared" si="82"/>
        <v>0.5350378273265598</v>
      </c>
      <c r="Q253" s="1102">
        <f t="shared" si="83"/>
        <v>7.6139998504164268</v>
      </c>
      <c r="R253" s="58"/>
      <c r="S253" s="1211">
        <f t="shared" si="84"/>
        <v>0.45683999102498551</v>
      </c>
      <c r="T253" s="1198">
        <f t="shared" si="85"/>
        <v>1.2730382917711778</v>
      </c>
      <c r="U253" s="1613">
        <f t="shared" si="85"/>
        <v>19.967485885685029</v>
      </c>
      <c r="V253" s="1613">
        <f t="shared" si="85"/>
        <v>0</v>
      </c>
      <c r="W253" s="1200">
        <f t="shared" si="85"/>
        <v>1.1980491531411017</v>
      </c>
    </row>
    <row r="254" spans="1:23">
      <c r="A254" s="466">
        <f>'Input data'!A120</f>
        <v>2020</v>
      </c>
      <c r="B254" s="1366">
        <f>'Recycling - Case 3'!AI100</f>
        <v>4617.5691834333375</v>
      </c>
      <c r="C254" s="576">
        <f t="shared" ref="C254:C255" si="91">($C$256-$C$80)/($A$256-$A$80)+C253</f>
        <v>0.32</v>
      </c>
      <c r="D254" s="576">
        <f t="shared" si="86"/>
        <v>0.67999999999999994</v>
      </c>
      <c r="E254" s="58">
        <v>0</v>
      </c>
      <c r="F254" s="58">
        <v>0</v>
      </c>
      <c r="G254" s="1365">
        <f t="shared" si="87"/>
        <v>1.1820977109589343</v>
      </c>
      <c r="H254" s="1102">
        <f t="shared" si="88"/>
        <v>12.559788178938678</v>
      </c>
      <c r="I254" s="58"/>
      <c r="J254" s="1211">
        <f t="shared" si="89"/>
        <v>0.75358729073632058</v>
      </c>
      <c r="K254" s="1364">
        <f>'Recycling - Case 3'!Z180</f>
        <v>2567.1213118810192</v>
      </c>
      <c r="L254" s="576">
        <f t="shared" ref="L254:L255" si="92">($L$256-$L$80)/($A$256-$A$80)+L253</f>
        <v>0.34</v>
      </c>
      <c r="M254" s="576">
        <f t="shared" si="90"/>
        <v>0.65999999999999992</v>
      </c>
      <c r="N254" s="58">
        <f t="shared" si="81"/>
        <v>0</v>
      </c>
      <c r="O254" s="58">
        <f t="shared" si="81"/>
        <v>0</v>
      </c>
      <c r="P254" s="1365">
        <f t="shared" si="82"/>
        <v>0.69825699683163722</v>
      </c>
      <c r="Q254" s="1102">
        <f t="shared" si="83"/>
        <v>6.7772002633658897</v>
      </c>
      <c r="R254" s="58"/>
      <c r="S254" s="1211">
        <f t="shared" si="84"/>
        <v>0.40663201580195341</v>
      </c>
      <c r="T254" s="1198">
        <f t="shared" si="85"/>
        <v>1.8803547077905716</v>
      </c>
      <c r="U254" s="1613">
        <f t="shared" si="85"/>
        <v>19.336988442304566</v>
      </c>
      <c r="V254" s="1613">
        <f t="shared" si="85"/>
        <v>0</v>
      </c>
      <c r="W254" s="1200">
        <f t="shared" si="85"/>
        <v>1.160219306538274</v>
      </c>
    </row>
    <row r="255" spans="1:23">
      <c r="A255" s="466">
        <f>'Input data'!A121</f>
        <v>2021</v>
      </c>
      <c r="B255" s="1366">
        <f>'Recycling - Case 3'!AI101</f>
        <v>5830.9633715541659</v>
      </c>
      <c r="C255" s="576">
        <f t="shared" si="91"/>
        <v>0.41000000000000003</v>
      </c>
      <c r="D255" s="576">
        <f t="shared" si="86"/>
        <v>0.59</v>
      </c>
      <c r="E255" s="58">
        <v>0</v>
      </c>
      <c r="F255" s="58">
        <v>0</v>
      </c>
      <c r="G255" s="1365">
        <f t="shared" si="87"/>
        <v>1.9125559858697667</v>
      </c>
      <c r="H255" s="1102">
        <f t="shared" si="88"/>
        <v>13.76107355686783</v>
      </c>
      <c r="I255" s="58"/>
      <c r="J255" s="1211">
        <f t="shared" si="89"/>
        <v>0.82566441341206975</v>
      </c>
      <c r="K255" s="1364">
        <f>'Recycling - Case 3'!Z181</f>
        <v>2937.7655654826231</v>
      </c>
      <c r="L255" s="576">
        <f t="shared" si="92"/>
        <v>0.42000000000000004</v>
      </c>
      <c r="M255" s="576">
        <f t="shared" si="90"/>
        <v>0.57999999999999996</v>
      </c>
      <c r="N255" s="58">
        <f t="shared" si="81"/>
        <v>0</v>
      </c>
      <c r="O255" s="58">
        <f t="shared" si="81"/>
        <v>0</v>
      </c>
      <c r="P255" s="1365">
        <f t="shared" si="82"/>
        <v>0.98708923000216153</v>
      </c>
      <c r="Q255" s="1102">
        <f t="shared" si="83"/>
        <v>6.8156161119196845</v>
      </c>
      <c r="R255" s="58"/>
      <c r="S255" s="1211">
        <f t="shared" si="84"/>
        <v>0.40893696671518109</v>
      </c>
      <c r="T255" s="1198">
        <f t="shared" si="85"/>
        <v>2.8996452158719284</v>
      </c>
      <c r="U255" s="1613">
        <f t="shared" si="85"/>
        <v>20.576689668787516</v>
      </c>
      <c r="V255" s="1613">
        <f t="shared" si="85"/>
        <v>0</v>
      </c>
      <c r="W255" s="1200">
        <f t="shared" si="85"/>
        <v>1.2346013801272508</v>
      </c>
    </row>
    <row r="256" spans="1:23">
      <c r="A256" s="466">
        <f>'Input data'!A122</f>
        <v>2022</v>
      </c>
      <c r="B256" s="1366">
        <f>'Recycling - Case 3'!AI102</f>
        <v>6437.6604656145792</v>
      </c>
      <c r="C256" s="576">
        <f>'Recycling - Case 3'!G31</f>
        <v>0.5</v>
      </c>
      <c r="D256" s="576">
        <f t="shared" si="86"/>
        <v>0.5</v>
      </c>
      <c r="E256" s="58">
        <v>0</v>
      </c>
      <c r="F256" s="58">
        <v>0</v>
      </c>
      <c r="G256" s="1365">
        <f t="shared" si="87"/>
        <v>2.5750641862458319</v>
      </c>
      <c r="H256" s="1102">
        <f t="shared" si="88"/>
        <v>12.875320931229158</v>
      </c>
      <c r="I256" s="58"/>
      <c r="J256" s="1211">
        <f t="shared" si="89"/>
        <v>0.77251925587374948</v>
      </c>
      <c r="K256" s="1364">
        <f>'Recycling - Case 3'!Z182</f>
        <v>3143.3394376331189</v>
      </c>
      <c r="L256" s="576">
        <f>'Recycling - Case 3'!G31</f>
        <v>0.5</v>
      </c>
      <c r="M256" s="576">
        <f t="shared" si="90"/>
        <v>0.5</v>
      </c>
      <c r="N256" s="58">
        <f t="shared" si="81"/>
        <v>0</v>
      </c>
      <c r="O256" s="58">
        <f t="shared" si="81"/>
        <v>0</v>
      </c>
      <c r="P256" s="1365">
        <f t="shared" si="82"/>
        <v>1.2573357750532477</v>
      </c>
      <c r="Q256" s="1102">
        <f t="shared" si="83"/>
        <v>6.2866788752662375</v>
      </c>
      <c r="R256" s="58"/>
      <c r="S256" s="1211">
        <f t="shared" si="84"/>
        <v>0.37720073251597425</v>
      </c>
      <c r="T256" s="1198">
        <f t="shared" si="85"/>
        <v>3.8323999612990796</v>
      </c>
      <c r="U256" s="1613">
        <f t="shared" si="85"/>
        <v>19.161999806495395</v>
      </c>
      <c r="V256" s="1613">
        <f t="shared" si="85"/>
        <v>0</v>
      </c>
      <c r="W256" s="1200">
        <f t="shared" si="85"/>
        <v>1.1497199883897238</v>
      </c>
    </row>
    <row r="257" spans="1:23">
      <c r="A257" s="466">
        <f>'Input data'!A123</f>
        <v>2023</v>
      </c>
      <c r="B257" s="1366">
        <f>'Recycling - Case 3'!AI103</f>
        <v>6437.6604656145792</v>
      </c>
      <c r="C257" s="576">
        <f>C256</f>
        <v>0.5</v>
      </c>
      <c r="D257" s="576">
        <f t="shared" si="86"/>
        <v>0.5</v>
      </c>
      <c r="E257" s="58">
        <v>0</v>
      </c>
      <c r="F257" s="58">
        <v>0</v>
      </c>
      <c r="G257" s="1365">
        <f t="shared" si="87"/>
        <v>2.5750641862458319</v>
      </c>
      <c r="H257" s="1102">
        <f t="shared" si="88"/>
        <v>12.875320931229158</v>
      </c>
      <c r="I257" s="58"/>
      <c r="J257" s="1211">
        <f t="shared" si="89"/>
        <v>0.77251925587374948</v>
      </c>
      <c r="K257" s="1364">
        <f>'Recycling - Case 3'!Z183</f>
        <v>3193.7786150741408</v>
      </c>
      <c r="L257" s="576">
        <f>L256</f>
        <v>0.5</v>
      </c>
      <c r="M257" s="576">
        <f t="shared" si="90"/>
        <v>0.5</v>
      </c>
      <c r="N257" s="58">
        <f t="shared" si="81"/>
        <v>0</v>
      </c>
      <c r="O257" s="58">
        <f t="shared" si="81"/>
        <v>0</v>
      </c>
      <c r="P257" s="1365">
        <f t="shared" si="82"/>
        <v>1.2775114460296564</v>
      </c>
      <c r="Q257" s="1102">
        <f t="shared" si="83"/>
        <v>6.3875572301482819</v>
      </c>
      <c r="R257" s="58"/>
      <c r="S257" s="1211">
        <f t="shared" si="84"/>
        <v>0.38325343380889687</v>
      </c>
      <c r="T257" s="1198">
        <f t="shared" si="85"/>
        <v>3.8525756322754883</v>
      </c>
      <c r="U257" s="1613">
        <f t="shared" si="85"/>
        <v>19.26287816137744</v>
      </c>
      <c r="V257" s="1613">
        <f t="shared" si="85"/>
        <v>0</v>
      </c>
      <c r="W257" s="1200">
        <f t="shared" si="85"/>
        <v>1.1557726896826463</v>
      </c>
    </row>
    <row r="258" spans="1:23">
      <c r="A258" s="466">
        <f>'Input data'!A124</f>
        <v>2024</v>
      </c>
      <c r="B258" s="1366">
        <f>'Recycling - Case 3'!AI104</f>
        <v>6437.6604656145792</v>
      </c>
      <c r="C258" s="576">
        <f t="shared" ref="C258:C284" si="93">C257</f>
        <v>0.5</v>
      </c>
      <c r="D258" s="576">
        <f t="shared" si="86"/>
        <v>0.5</v>
      </c>
      <c r="E258" s="58">
        <v>0</v>
      </c>
      <c r="F258" s="58">
        <v>0</v>
      </c>
      <c r="G258" s="1365">
        <f t="shared" si="87"/>
        <v>2.5750641862458319</v>
      </c>
      <c r="H258" s="1102">
        <f t="shared" si="88"/>
        <v>12.875320931229158</v>
      </c>
      <c r="I258" s="58"/>
      <c r="J258" s="1211">
        <f t="shared" si="89"/>
        <v>0.77251925587374948</v>
      </c>
      <c r="K258" s="1364">
        <f>'Recycling - Case 3'!Z184</f>
        <v>3247.9631140768552</v>
      </c>
      <c r="L258" s="576">
        <f t="shared" ref="L258:L284" si="94">L257</f>
        <v>0.5</v>
      </c>
      <c r="M258" s="576">
        <f t="shared" si="90"/>
        <v>0.5</v>
      </c>
      <c r="N258" s="58">
        <f t="shared" si="81"/>
        <v>0</v>
      </c>
      <c r="O258" s="58">
        <f t="shared" si="81"/>
        <v>0</v>
      </c>
      <c r="P258" s="1365">
        <f t="shared" si="82"/>
        <v>1.2991852456307422</v>
      </c>
      <c r="Q258" s="1102">
        <f t="shared" si="83"/>
        <v>6.49592622815371</v>
      </c>
      <c r="R258" s="58"/>
      <c r="S258" s="1211">
        <f t="shared" si="84"/>
        <v>0.38975557368922259</v>
      </c>
      <c r="T258" s="1198">
        <f t="shared" si="85"/>
        <v>3.8742494318765743</v>
      </c>
      <c r="U258" s="1613">
        <f t="shared" si="85"/>
        <v>19.371247159382868</v>
      </c>
      <c r="V258" s="1613">
        <f t="shared" si="85"/>
        <v>0</v>
      </c>
      <c r="W258" s="1200">
        <f t="shared" si="85"/>
        <v>1.1622748295629721</v>
      </c>
    </row>
    <row r="259" spans="1:23">
      <c r="A259" s="466">
        <f>'Input data'!A125</f>
        <v>2025</v>
      </c>
      <c r="B259" s="1366">
        <f>'Recycling - Case 3'!AI105</f>
        <v>6437.6604656145792</v>
      </c>
      <c r="C259" s="576">
        <f t="shared" si="93"/>
        <v>0.5</v>
      </c>
      <c r="D259" s="576">
        <f t="shared" si="86"/>
        <v>0.5</v>
      </c>
      <c r="E259" s="58">
        <v>0</v>
      </c>
      <c r="F259" s="58">
        <v>0</v>
      </c>
      <c r="G259" s="1365">
        <f t="shared" si="87"/>
        <v>2.5750641862458319</v>
      </c>
      <c r="H259" s="1102">
        <f t="shared" si="88"/>
        <v>12.875320931229158</v>
      </c>
      <c r="I259" s="58"/>
      <c r="J259" s="1211">
        <f t="shared" si="89"/>
        <v>0.77251925587374948</v>
      </c>
      <c r="K259" s="1364">
        <f>'Recycling - Case 3'!Z185</f>
        <v>3295.6393491706608</v>
      </c>
      <c r="L259" s="576">
        <f t="shared" si="94"/>
        <v>0.5</v>
      </c>
      <c r="M259" s="576">
        <f t="shared" si="90"/>
        <v>0.5</v>
      </c>
      <c r="N259" s="58">
        <f t="shared" si="81"/>
        <v>0</v>
      </c>
      <c r="O259" s="58">
        <f t="shared" si="81"/>
        <v>0</v>
      </c>
      <c r="P259" s="1365">
        <f t="shared" si="82"/>
        <v>1.3182557396682644</v>
      </c>
      <c r="Q259" s="1102">
        <f t="shared" si="83"/>
        <v>6.5912786983413216</v>
      </c>
      <c r="R259" s="58"/>
      <c r="S259" s="1211">
        <f t="shared" si="84"/>
        <v>0.39547672190047928</v>
      </c>
      <c r="T259" s="1198">
        <f t="shared" si="85"/>
        <v>3.8933199259140965</v>
      </c>
      <c r="U259" s="1613">
        <f t="shared" si="85"/>
        <v>19.466599629570482</v>
      </c>
      <c r="V259" s="1613">
        <f t="shared" si="85"/>
        <v>0</v>
      </c>
      <c r="W259" s="1200">
        <f t="shared" si="85"/>
        <v>1.1679959777742288</v>
      </c>
    </row>
    <row r="260" spans="1:23">
      <c r="A260" s="466">
        <f>'Input data'!A126</f>
        <v>2026</v>
      </c>
      <c r="B260" s="1366">
        <f>'Recycling - Case 3'!AI106</f>
        <v>6437.6604656145792</v>
      </c>
      <c r="C260" s="576">
        <f t="shared" si="93"/>
        <v>0.5</v>
      </c>
      <c r="D260" s="576">
        <f t="shared" si="86"/>
        <v>0.5</v>
      </c>
      <c r="E260" s="58">
        <v>0</v>
      </c>
      <c r="F260" s="58">
        <v>0</v>
      </c>
      <c r="G260" s="1365">
        <f t="shared" si="87"/>
        <v>2.5750641862458319</v>
      </c>
      <c r="H260" s="1102">
        <f t="shared" si="88"/>
        <v>12.875320931229158</v>
      </c>
      <c r="I260" s="58"/>
      <c r="J260" s="1211">
        <f t="shared" si="89"/>
        <v>0.77251925587374948</v>
      </c>
      <c r="K260" s="1364">
        <f>'Recycling - Case 3'!Z186</f>
        <v>3339.4558089478387</v>
      </c>
      <c r="L260" s="576">
        <f t="shared" si="94"/>
        <v>0.5</v>
      </c>
      <c r="M260" s="576">
        <f t="shared" si="90"/>
        <v>0.5</v>
      </c>
      <c r="N260" s="58">
        <f t="shared" si="81"/>
        <v>0</v>
      </c>
      <c r="O260" s="58">
        <f t="shared" si="81"/>
        <v>0</v>
      </c>
      <c r="P260" s="1365">
        <f t="shared" si="82"/>
        <v>1.3357823235791357</v>
      </c>
      <c r="Q260" s="1102">
        <f t="shared" si="83"/>
        <v>6.6789116178956771</v>
      </c>
      <c r="R260" s="58"/>
      <c r="S260" s="1211">
        <f t="shared" si="84"/>
        <v>0.4007346970737406</v>
      </c>
      <c r="T260" s="1198">
        <f t="shared" si="85"/>
        <v>3.9108465098249674</v>
      </c>
      <c r="U260" s="1613">
        <f t="shared" si="85"/>
        <v>19.554232549124833</v>
      </c>
      <c r="V260" s="1613">
        <f t="shared" si="85"/>
        <v>0</v>
      </c>
      <c r="W260" s="1200">
        <f t="shared" si="85"/>
        <v>1.1732539529474901</v>
      </c>
    </row>
    <row r="261" spans="1:23">
      <c r="A261" s="466">
        <f>'Input data'!A127</f>
        <v>2027</v>
      </c>
      <c r="B261" s="1366">
        <f>'Recycling - Case 3'!AI107</f>
        <v>6437.6604656145792</v>
      </c>
      <c r="C261" s="576">
        <f t="shared" si="93"/>
        <v>0.5</v>
      </c>
      <c r="D261" s="576">
        <f t="shared" si="86"/>
        <v>0.5</v>
      </c>
      <c r="E261" s="58">
        <v>0</v>
      </c>
      <c r="F261" s="58">
        <v>0</v>
      </c>
      <c r="G261" s="1365">
        <f t="shared" si="87"/>
        <v>2.5750641862458319</v>
      </c>
      <c r="H261" s="1102">
        <f t="shared" si="88"/>
        <v>12.875320931229158</v>
      </c>
      <c r="I261" s="58"/>
      <c r="J261" s="1211">
        <f t="shared" si="89"/>
        <v>0.77251925587374948</v>
      </c>
      <c r="K261" s="1364">
        <f>'Recycling - Case 3'!Z187</f>
        <v>3379.7386694672964</v>
      </c>
      <c r="L261" s="576">
        <f t="shared" si="94"/>
        <v>0.5</v>
      </c>
      <c r="M261" s="576">
        <f t="shared" si="90"/>
        <v>0.5</v>
      </c>
      <c r="N261" s="58">
        <f t="shared" si="81"/>
        <v>0</v>
      </c>
      <c r="O261" s="58">
        <f t="shared" si="81"/>
        <v>0</v>
      </c>
      <c r="P261" s="1365">
        <f t="shared" si="82"/>
        <v>1.3518954677869188</v>
      </c>
      <c r="Q261" s="1102">
        <f t="shared" si="83"/>
        <v>6.7594773389345928</v>
      </c>
      <c r="R261" s="58"/>
      <c r="S261" s="1211">
        <f t="shared" si="84"/>
        <v>0.40556864033607554</v>
      </c>
      <c r="T261" s="1198">
        <f t="shared" si="85"/>
        <v>3.9269596540327507</v>
      </c>
      <c r="U261" s="1613">
        <f t="shared" si="85"/>
        <v>19.634798270163749</v>
      </c>
      <c r="V261" s="1613">
        <f t="shared" si="85"/>
        <v>0</v>
      </c>
      <c r="W261" s="1200">
        <f t="shared" si="85"/>
        <v>1.1780878962098251</v>
      </c>
    </row>
    <row r="262" spans="1:23">
      <c r="A262" s="466">
        <f>'Input data'!A128</f>
        <v>2028</v>
      </c>
      <c r="B262" s="1366">
        <f>'Recycling - Case 3'!AI108</f>
        <v>6437.6604656145792</v>
      </c>
      <c r="C262" s="576">
        <f t="shared" si="93"/>
        <v>0.5</v>
      </c>
      <c r="D262" s="576">
        <f t="shared" si="86"/>
        <v>0.5</v>
      </c>
      <c r="E262" s="58">
        <v>0</v>
      </c>
      <c r="F262" s="58">
        <v>0</v>
      </c>
      <c r="G262" s="1365">
        <f t="shared" si="87"/>
        <v>2.5750641862458319</v>
      </c>
      <c r="H262" s="1102">
        <f t="shared" si="88"/>
        <v>12.875320931229158</v>
      </c>
      <c r="I262" s="58"/>
      <c r="J262" s="1211">
        <f t="shared" si="89"/>
        <v>0.77251925587374948</v>
      </c>
      <c r="K262" s="1364">
        <f>'Recycling - Case 3'!Z188</f>
        <v>3426.3883095687434</v>
      </c>
      <c r="L262" s="576">
        <f t="shared" si="94"/>
        <v>0.5</v>
      </c>
      <c r="M262" s="576">
        <f t="shared" si="90"/>
        <v>0.5</v>
      </c>
      <c r="N262" s="58">
        <f t="shared" si="81"/>
        <v>0</v>
      </c>
      <c r="O262" s="58">
        <f t="shared" si="81"/>
        <v>0</v>
      </c>
      <c r="P262" s="1365">
        <f t="shared" si="82"/>
        <v>1.3705553238274975</v>
      </c>
      <c r="Q262" s="1102">
        <f t="shared" si="83"/>
        <v>6.8527766191374866</v>
      </c>
      <c r="R262" s="58"/>
      <c r="S262" s="1211">
        <f t="shared" si="84"/>
        <v>0.41116659714824921</v>
      </c>
      <c r="T262" s="1198">
        <f t="shared" si="85"/>
        <v>3.9456195100733291</v>
      </c>
      <c r="U262" s="1613">
        <f t="shared" si="85"/>
        <v>19.728097550366645</v>
      </c>
      <c r="V262" s="1613">
        <f t="shared" si="85"/>
        <v>0</v>
      </c>
      <c r="W262" s="1200">
        <f t="shared" si="85"/>
        <v>1.1836858530219987</v>
      </c>
    </row>
    <row r="263" spans="1:23">
      <c r="A263" s="466">
        <f>'Input data'!A129</f>
        <v>2029</v>
      </c>
      <c r="B263" s="1366">
        <f>'Recycling - Case 3'!AI109</f>
        <v>6437.6604656145792</v>
      </c>
      <c r="C263" s="576">
        <f t="shared" si="93"/>
        <v>0.5</v>
      </c>
      <c r="D263" s="576">
        <f t="shared" si="86"/>
        <v>0.5</v>
      </c>
      <c r="E263" s="58">
        <v>0</v>
      </c>
      <c r="F263" s="58">
        <v>0</v>
      </c>
      <c r="G263" s="1365">
        <f t="shared" si="87"/>
        <v>2.5750641862458319</v>
      </c>
      <c r="H263" s="1102">
        <f t="shared" si="88"/>
        <v>12.875320931229158</v>
      </c>
      <c r="I263" s="58"/>
      <c r="J263" s="1211">
        <f t="shared" si="89"/>
        <v>0.77251925587374948</v>
      </c>
      <c r="K263" s="1364">
        <f>'Recycling - Case 3'!Z189</f>
        <v>3485.8660805942818</v>
      </c>
      <c r="L263" s="576">
        <f t="shared" si="94"/>
        <v>0.5</v>
      </c>
      <c r="M263" s="576">
        <f t="shared" si="90"/>
        <v>0.5</v>
      </c>
      <c r="N263" s="58">
        <f t="shared" si="81"/>
        <v>0</v>
      </c>
      <c r="O263" s="58">
        <f t="shared" si="81"/>
        <v>0</v>
      </c>
      <c r="P263" s="1365">
        <f t="shared" si="82"/>
        <v>1.3943464322377128</v>
      </c>
      <c r="Q263" s="1102">
        <f t="shared" si="83"/>
        <v>6.9717321611885632</v>
      </c>
      <c r="R263" s="58"/>
      <c r="S263" s="1211">
        <f t="shared" si="84"/>
        <v>0.4183039296713138</v>
      </c>
      <c r="T263" s="1198">
        <f t="shared" si="85"/>
        <v>3.9694106184835447</v>
      </c>
      <c r="U263" s="1613">
        <f t="shared" si="85"/>
        <v>19.84705309241772</v>
      </c>
      <c r="V263" s="1613">
        <f t="shared" si="85"/>
        <v>0</v>
      </c>
      <c r="W263" s="1200">
        <f t="shared" si="85"/>
        <v>1.1908231855450633</v>
      </c>
    </row>
    <row r="264" spans="1:23">
      <c r="A264" s="466">
        <f>'Input data'!A130</f>
        <v>2030</v>
      </c>
      <c r="B264" s="1366">
        <f>'Recycling - Case 3'!AI110</f>
        <v>6437.6604656145792</v>
      </c>
      <c r="C264" s="576">
        <f t="shared" si="93"/>
        <v>0.5</v>
      </c>
      <c r="D264" s="576">
        <f t="shared" si="86"/>
        <v>0.5</v>
      </c>
      <c r="E264" s="58">
        <v>0</v>
      </c>
      <c r="F264" s="58">
        <v>0</v>
      </c>
      <c r="G264" s="1365">
        <f t="shared" si="87"/>
        <v>2.5750641862458319</v>
      </c>
      <c r="H264" s="1102">
        <f t="shared" si="88"/>
        <v>12.875320931229158</v>
      </c>
      <c r="I264" s="58"/>
      <c r="J264" s="1211">
        <f t="shared" si="89"/>
        <v>0.77251925587374948</v>
      </c>
      <c r="K264" s="1364">
        <f>'Recycling - Case 3'!Z190</f>
        <v>3538.217660793739</v>
      </c>
      <c r="L264" s="576">
        <f t="shared" si="94"/>
        <v>0.5</v>
      </c>
      <c r="M264" s="576">
        <f t="shared" si="90"/>
        <v>0.5</v>
      </c>
      <c r="N264" s="58">
        <f t="shared" si="81"/>
        <v>0</v>
      </c>
      <c r="O264" s="58">
        <f t="shared" si="81"/>
        <v>0</v>
      </c>
      <c r="P264" s="1365">
        <f t="shared" si="82"/>
        <v>1.4152870643174955</v>
      </c>
      <c r="Q264" s="1102">
        <f t="shared" si="83"/>
        <v>7.0764353215874785</v>
      </c>
      <c r="R264" s="58"/>
      <c r="S264" s="1211">
        <f t="shared" si="84"/>
        <v>0.4245861192952487</v>
      </c>
      <c r="T264" s="1198">
        <f t="shared" si="85"/>
        <v>3.9903512505633274</v>
      </c>
      <c r="U264" s="1613">
        <f t="shared" si="85"/>
        <v>19.951756252816637</v>
      </c>
      <c r="V264" s="1613">
        <f t="shared" si="85"/>
        <v>0</v>
      </c>
      <c r="W264" s="1200">
        <f t="shared" si="85"/>
        <v>1.1971053751689982</v>
      </c>
    </row>
    <row r="265" spans="1:23">
      <c r="A265" s="466">
        <f>'Input data'!A131</f>
        <v>2031</v>
      </c>
      <c r="B265" s="1366">
        <f>'Recycling - Case 3'!AI111</f>
        <v>6437.6604656145792</v>
      </c>
      <c r="C265" s="576">
        <f t="shared" si="93"/>
        <v>0.5</v>
      </c>
      <c r="D265" s="576">
        <f t="shared" si="86"/>
        <v>0.5</v>
      </c>
      <c r="E265" s="58">
        <v>0</v>
      </c>
      <c r="F265" s="58">
        <v>0</v>
      </c>
      <c r="G265" s="1365">
        <f t="shared" si="87"/>
        <v>2.5750641862458319</v>
      </c>
      <c r="H265" s="1102">
        <f t="shared" si="88"/>
        <v>12.875320931229158</v>
      </c>
      <c r="I265" s="58"/>
      <c r="J265" s="1211">
        <f t="shared" si="89"/>
        <v>0.77251925587374948</v>
      </c>
      <c r="K265" s="1364">
        <f>'Recycling - Case 3'!Z191</f>
        <v>3504.1852978367515</v>
      </c>
      <c r="L265" s="576">
        <f t="shared" si="94"/>
        <v>0.5</v>
      </c>
      <c r="M265" s="576">
        <f t="shared" si="90"/>
        <v>0.5</v>
      </c>
      <c r="N265" s="58">
        <f t="shared" si="81"/>
        <v>0</v>
      </c>
      <c r="O265" s="58">
        <f t="shared" si="81"/>
        <v>0</v>
      </c>
      <c r="P265" s="1365">
        <f t="shared" si="82"/>
        <v>1.4016741191347006</v>
      </c>
      <c r="Q265" s="1102">
        <f t="shared" si="83"/>
        <v>7.0083705956735027</v>
      </c>
      <c r="R265" s="58"/>
      <c r="S265" s="1211">
        <f t="shared" si="84"/>
        <v>0.42050223574041018</v>
      </c>
      <c r="T265" s="1198">
        <f t="shared" si="85"/>
        <v>3.9767383053805325</v>
      </c>
      <c r="U265" s="1613">
        <f t="shared" si="85"/>
        <v>19.883691526902659</v>
      </c>
      <c r="V265" s="1613">
        <f t="shared" si="85"/>
        <v>0</v>
      </c>
      <c r="W265" s="1200">
        <f t="shared" si="85"/>
        <v>1.1930214916141597</v>
      </c>
    </row>
    <row r="266" spans="1:23">
      <c r="A266" s="466">
        <f>'Input data'!A132</f>
        <v>2032</v>
      </c>
      <c r="B266" s="1366">
        <f>'Recycling - Case 3'!AI112</f>
        <v>6437.6604656145792</v>
      </c>
      <c r="C266" s="576">
        <f t="shared" si="93"/>
        <v>0.5</v>
      </c>
      <c r="D266" s="576">
        <f t="shared" si="86"/>
        <v>0.5</v>
      </c>
      <c r="E266" s="58">
        <v>0</v>
      </c>
      <c r="F266" s="58">
        <v>0</v>
      </c>
      <c r="G266" s="1365">
        <f t="shared" si="87"/>
        <v>2.5750641862458319</v>
      </c>
      <c r="H266" s="1102">
        <f t="shared" si="88"/>
        <v>12.875320931229158</v>
      </c>
      <c r="I266" s="58"/>
      <c r="J266" s="1211">
        <f t="shared" si="89"/>
        <v>0.77251925587374948</v>
      </c>
      <c r="K266" s="1364">
        <f>'Recycling - Case 3'!Z192</f>
        <v>3598.6028123457536</v>
      </c>
      <c r="L266" s="576">
        <f t="shared" si="94"/>
        <v>0.5</v>
      </c>
      <c r="M266" s="576">
        <f t="shared" si="90"/>
        <v>0.5</v>
      </c>
      <c r="N266" s="58">
        <f t="shared" si="81"/>
        <v>0</v>
      </c>
      <c r="O266" s="58">
        <f t="shared" si="81"/>
        <v>0</v>
      </c>
      <c r="P266" s="1365">
        <f t="shared" si="82"/>
        <v>1.4394411249383015</v>
      </c>
      <c r="Q266" s="1102">
        <f t="shared" si="83"/>
        <v>7.1972056246915068</v>
      </c>
      <c r="R266" s="58"/>
      <c r="S266" s="1211">
        <f t="shared" si="84"/>
        <v>0.43183233748149041</v>
      </c>
      <c r="T266" s="1198">
        <f t="shared" si="85"/>
        <v>4.0145053111841333</v>
      </c>
      <c r="U266" s="1613">
        <f t="shared" si="85"/>
        <v>20.072526555920664</v>
      </c>
      <c r="V266" s="1613">
        <f t="shared" si="85"/>
        <v>0</v>
      </c>
      <c r="W266" s="1200">
        <f t="shared" si="85"/>
        <v>1.20435159335524</v>
      </c>
    </row>
    <row r="267" spans="1:23">
      <c r="A267" s="466">
        <f>'Input data'!A133</f>
        <v>2033</v>
      </c>
      <c r="B267" s="1366">
        <f>'Recycling - Case 3'!AI113</f>
        <v>6437.6604656145792</v>
      </c>
      <c r="C267" s="576">
        <f t="shared" si="93"/>
        <v>0.5</v>
      </c>
      <c r="D267" s="576">
        <f t="shared" si="86"/>
        <v>0.5</v>
      </c>
      <c r="E267" s="58">
        <v>0</v>
      </c>
      <c r="F267" s="58">
        <v>0</v>
      </c>
      <c r="G267" s="1365">
        <f t="shared" si="87"/>
        <v>2.5750641862458319</v>
      </c>
      <c r="H267" s="1102">
        <f t="shared" si="88"/>
        <v>12.875320931229158</v>
      </c>
      <c r="I267" s="58"/>
      <c r="J267" s="1211">
        <f t="shared" si="89"/>
        <v>0.77251925587374948</v>
      </c>
      <c r="K267" s="1364">
        <f>'Recycling - Case 3'!Z193</f>
        <v>3689.9033028722483</v>
      </c>
      <c r="L267" s="576">
        <f t="shared" si="94"/>
        <v>0.5</v>
      </c>
      <c r="M267" s="576">
        <f t="shared" si="90"/>
        <v>0.5</v>
      </c>
      <c r="N267" s="58">
        <f t="shared" si="81"/>
        <v>0</v>
      </c>
      <c r="O267" s="58">
        <f t="shared" si="81"/>
        <v>0</v>
      </c>
      <c r="P267" s="1365">
        <f t="shared" si="82"/>
        <v>1.4759613211488996</v>
      </c>
      <c r="Q267" s="1102">
        <f t="shared" si="83"/>
        <v>7.3798066057444967</v>
      </c>
      <c r="R267" s="58"/>
      <c r="S267" s="1211">
        <f t="shared" si="84"/>
        <v>0.44278839634466977</v>
      </c>
      <c r="T267" s="1198">
        <f t="shared" si="85"/>
        <v>4.0510255073947317</v>
      </c>
      <c r="U267" s="1613">
        <f t="shared" si="85"/>
        <v>20.255127536973653</v>
      </c>
      <c r="V267" s="1613">
        <f t="shared" si="85"/>
        <v>0</v>
      </c>
      <c r="W267" s="1200">
        <f t="shared" si="85"/>
        <v>1.2153076522184192</v>
      </c>
    </row>
    <row r="268" spans="1:23">
      <c r="A268" s="466">
        <f>'Input data'!A134</f>
        <v>2034</v>
      </c>
      <c r="B268" s="1366">
        <f>'Recycling - Case 3'!AI114</f>
        <v>6437.6604656145792</v>
      </c>
      <c r="C268" s="576">
        <f t="shared" si="93"/>
        <v>0.5</v>
      </c>
      <c r="D268" s="576">
        <f t="shared" si="86"/>
        <v>0.5</v>
      </c>
      <c r="E268" s="58">
        <v>0</v>
      </c>
      <c r="F268" s="58">
        <v>0</v>
      </c>
      <c r="G268" s="1365">
        <f t="shared" si="87"/>
        <v>2.5750641862458319</v>
      </c>
      <c r="H268" s="1102">
        <f t="shared" si="88"/>
        <v>12.875320931229158</v>
      </c>
      <c r="I268" s="58"/>
      <c r="J268" s="1211">
        <f t="shared" si="89"/>
        <v>0.77251925587374948</v>
      </c>
      <c r="K268" s="1364">
        <f>'Recycling - Case 3'!Z194</f>
        <v>3802.1747903841533</v>
      </c>
      <c r="L268" s="576">
        <f t="shared" si="94"/>
        <v>0.5</v>
      </c>
      <c r="M268" s="576">
        <f t="shared" si="90"/>
        <v>0.5</v>
      </c>
      <c r="N268" s="58">
        <f t="shared" ref="N268:O283" si="95">N130</f>
        <v>0</v>
      </c>
      <c r="O268" s="58">
        <f t="shared" si="95"/>
        <v>0</v>
      </c>
      <c r="P268" s="1365">
        <f t="shared" si="82"/>
        <v>1.5208699161536614</v>
      </c>
      <c r="Q268" s="1102">
        <f t="shared" si="83"/>
        <v>7.6043495807683064</v>
      </c>
      <c r="R268" s="58"/>
      <c r="S268" s="1211">
        <f t="shared" si="84"/>
        <v>0.4562609748460984</v>
      </c>
      <c r="T268" s="1198">
        <f t="shared" si="85"/>
        <v>4.0959341023994931</v>
      </c>
      <c r="U268" s="1613">
        <f t="shared" si="85"/>
        <v>20.479670511997465</v>
      </c>
      <c r="V268" s="1613">
        <f t="shared" si="85"/>
        <v>0</v>
      </c>
      <c r="W268" s="1200">
        <f t="shared" si="85"/>
        <v>1.2287802307198479</v>
      </c>
    </row>
    <row r="269" spans="1:23">
      <c r="A269" s="466">
        <f>'Input data'!A135</f>
        <v>2035</v>
      </c>
      <c r="B269" s="1366">
        <f>'Recycling - Case 3'!AI115</f>
        <v>6437.6604656145792</v>
      </c>
      <c r="C269" s="576">
        <f t="shared" si="93"/>
        <v>0.5</v>
      </c>
      <c r="D269" s="576">
        <f t="shared" si="86"/>
        <v>0.5</v>
      </c>
      <c r="E269" s="58">
        <v>0</v>
      </c>
      <c r="F269" s="58">
        <v>0</v>
      </c>
      <c r="G269" s="1365">
        <f t="shared" si="87"/>
        <v>2.5750641862458319</v>
      </c>
      <c r="H269" s="1102">
        <f t="shared" si="88"/>
        <v>12.875320931229158</v>
      </c>
      <c r="I269" s="58"/>
      <c r="J269" s="1211">
        <f t="shared" si="89"/>
        <v>0.77251925587374948</v>
      </c>
      <c r="K269" s="1364">
        <f>'Recycling - Case 3'!Z195</f>
        <v>3897.4519949695709</v>
      </c>
      <c r="L269" s="576">
        <f t="shared" si="94"/>
        <v>0.5</v>
      </c>
      <c r="M269" s="576">
        <f t="shared" si="90"/>
        <v>0.5</v>
      </c>
      <c r="N269" s="58">
        <f t="shared" si="95"/>
        <v>0</v>
      </c>
      <c r="O269" s="58">
        <f t="shared" si="95"/>
        <v>0</v>
      </c>
      <c r="P269" s="1365">
        <f t="shared" si="82"/>
        <v>1.5589807979878285</v>
      </c>
      <c r="Q269" s="1102">
        <f t="shared" si="83"/>
        <v>7.7949039899391419</v>
      </c>
      <c r="R269" s="58"/>
      <c r="S269" s="1211">
        <f t="shared" si="84"/>
        <v>0.46769423939634852</v>
      </c>
      <c r="T269" s="1198">
        <f t="shared" si="85"/>
        <v>4.1340449842336602</v>
      </c>
      <c r="U269" s="1613">
        <f t="shared" si="85"/>
        <v>20.670224921168298</v>
      </c>
      <c r="V269" s="1613">
        <f t="shared" si="85"/>
        <v>0</v>
      </c>
      <c r="W269" s="1200">
        <f t="shared" si="85"/>
        <v>1.2402134952700981</v>
      </c>
    </row>
    <row r="270" spans="1:23">
      <c r="A270" s="466">
        <f>'Input data'!A136</f>
        <v>2036</v>
      </c>
      <c r="B270" s="1366">
        <f>'Recycling - Case 3'!AI116</f>
        <v>6437.6604656145792</v>
      </c>
      <c r="C270" s="576">
        <f t="shared" si="93"/>
        <v>0.5</v>
      </c>
      <c r="D270" s="576">
        <f t="shared" si="86"/>
        <v>0.5</v>
      </c>
      <c r="E270" s="58">
        <v>0</v>
      </c>
      <c r="F270" s="58">
        <v>0</v>
      </c>
      <c r="G270" s="1365">
        <f t="shared" si="87"/>
        <v>2.5750641862458319</v>
      </c>
      <c r="H270" s="1102">
        <f t="shared" si="88"/>
        <v>12.875320931229158</v>
      </c>
      <c r="I270" s="58"/>
      <c r="J270" s="1211">
        <f t="shared" si="89"/>
        <v>0.77251925587374948</v>
      </c>
      <c r="K270" s="1364">
        <f>'Recycling - Case 3'!Z196</f>
        <v>3992.1553192580318</v>
      </c>
      <c r="L270" s="576">
        <f t="shared" si="94"/>
        <v>0.5</v>
      </c>
      <c r="M270" s="576">
        <f t="shared" si="90"/>
        <v>0.5</v>
      </c>
      <c r="N270" s="58">
        <f t="shared" si="95"/>
        <v>0</v>
      </c>
      <c r="O270" s="58">
        <f t="shared" si="95"/>
        <v>0</v>
      </c>
      <c r="P270" s="1365">
        <f t="shared" si="82"/>
        <v>1.5968621277032127</v>
      </c>
      <c r="Q270" s="1102">
        <f t="shared" si="83"/>
        <v>7.9843106385160638</v>
      </c>
      <c r="R270" s="58"/>
      <c r="S270" s="1211">
        <f t="shared" si="84"/>
        <v>0.47905863831096379</v>
      </c>
      <c r="T270" s="1198">
        <f t="shared" si="85"/>
        <v>4.1719263139490446</v>
      </c>
      <c r="U270" s="1613">
        <f t="shared" si="85"/>
        <v>20.859631569745222</v>
      </c>
      <c r="V270" s="1613">
        <f t="shared" si="85"/>
        <v>0</v>
      </c>
      <c r="W270" s="1200">
        <f t="shared" si="85"/>
        <v>1.2515778941847133</v>
      </c>
    </row>
    <row r="271" spans="1:23">
      <c r="A271" s="466">
        <f>'Input data'!A137</f>
        <v>2037</v>
      </c>
      <c r="B271" s="1366">
        <f>'Recycling - Case 3'!AI117</f>
        <v>6437.6604656145792</v>
      </c>
      <c r="C271" s="576">
        <f t="shared" si="93"/>
        <v>0.5</v>
      </c>
      <c r="D271" s="576">
        <f t="shared" si="86"/>
        <v>0.5</v>
      </c>
      <c r="E271" s="58">
        <v>0</v>
      </c>
      <c r="F271" s="58">
        <v>0</v>
      </c>
      <c r="G271" s="1365">
        <f t="shared" si="87"/>
        <v>2.5750641862458319</v>
      </c>
      <c r="H271" s="1102">
        <f t="shared" si="88"/>
        <v>12.875320931229158</v>
      </c>
      <c r="I271" s="58"/>
      <c r="J271" s="1211">
        <f t="shared" si="89"/>
        <v>0.77251925587374948</v>
      </c>
      <c r="K271" s="1364">
        <f>'Recycling - Case 3'!Z197</f>
        <v>4095.1250637445028</v>
      </c>
      <c r="L271" s="576">
        <f t="shared" si="94"/>
        <v>0.5</v>
      </c>
      <c r="M271" s="576">
        <f t="shared" si="90"/>
        <v>0.5</v>
      </c>
      <c r="N271" s="58">
        <f t="shared" si="95"/>
        <v>0</v>
      </c>
      <c r="O271" s="58">
        <f t="shared" si="95"/>
        <v>0</v>
      </c>
      <c r="P271" s="1365">
        <f t="shared" si="82"/>
        <v>1.6380500254978012</v>
      </c>
      <c r="Q271" s="1102">
        <f t="shared" si="83"/>
        <v>8.1902501274890049</v>
      </c>
      <c r="R271" s="58"/>
      <c r="S271" s="1211">
        <f t="shared" si="84"/>
        <v>0.49141500764934032</v>
      </c>
      <c r="T271" s="1198">
        <f t="shared" si="85"/>
        <v>4.2131142117436333</v>
      </c>
      <c r="U271" s="1613">
        <f t="shared" si="85"/>
        <v>21.065571058718163</v>
      </c>
      <c r="V271" s="1613">
        <f t="shared" si="85"/>
        <v>0</v>
      </c>
      <c r="W271" s="1200">
        <f t="shared" si="85"/>
        <v>1.2639342635230899</v>
      </c>
    </row>
    <row r="272" spans="1:23">
      <c r="A272" s="466">
        <f>'Input data'!A138</f>
        <v>2038</v>
      </c>
      <c r="B272" s="1366">
        <f>'Recycling - Case 3'!AI118</f>
        <v>6437.6604656145792</v>
      </c>
      <c r="C272" s="576">
        <f t="shared" si="93"/>
        <v>0.5</v>
      </c>
      <c r="D272" s="576">
        <f t="shared" si="86"/>
        <v>0.5</v>
      </c>
      <c r="E272" s="58">
        <v>0</v>
      </c>
      <c r="F272" s="58">
        <v>0</v>
      </c>
      <c r="G272" s="1365">
        <f t="shared" si="87"/>
        <v>2.5750641862458319</v>
      </c>
      <c r="H272" s="1102">
        <f t="shared" si="88"/>
        <v>12.875320931229158</v>
      </c>
      <c r="I272" s="58"/>
      <c r="J272" s="1211">
        <f t="shared" si="89"/>
        <v>0.77251925587374948</v>
      </c>
      <c r="K272" s="1364">
        <f>'Recycling - Case 3'!Z198</f>
        <v>4195.0479450616976</v>
      </c>
      <c r="L272" s="576">
        <f t="shared" si="94"/>
        <v>0.5</v>
      </c>
      <c r="M272" s="576">
        <f t="shared" si="90"/>
        <v>0.5</v>
      </c>
      <c r="N272" s="58">
        <f t="shared" si="95"/>
        <v>0</v>
      </c>
      <c r="O272" s="58">
        <f t="shared" si="95"/>
        <v>0</v>
      </c>
      <c r="P272" s="1365">
        <f t="shared" si="82"/>
        <v>1.6780191780246791</v>
      </c>
      <c r="Q272" s="1102">
        <f t="shared" si="83"/>
        <v>8.390095890123396</v>
      </c>
      <c r="R272" s="58"/>
      <c r="S272" s="1211">
        <f t="shared" si="84"/>
        <v>0.50340575340740368</v>
      </c>
      <c r="T272" s="1198">
        <f t="shared" si="85"/>
        <v>4.2530833642705108</v>
      </c>
      <c r="U272" s="1613">
        <f t="shared" si="85"/>
        <v>21.265416821352552</v>
      </c>
      <c r="V272" s="1613">
        <f t="shared" si="85"/>
        <v>0</v>
      </c>
      <c r="W272" s="1200">
        <f t="shared" si="85"/>
        <v>1.2759250092811532</v>
      </c>
    </row>
    <row r="273" spans="1:23">
      <c r="A273" s="466">
        <f>'Input data'!A139</f>
        <v>2039</v>
      </c>
      <c r="B273" s="1366">
        <f>'Recycling - Case 3'!AI119</f>
        <v>6437.6604656145792</v>
      </c>
      <c r="C273" s="576">
        <f t="shared" si="93"/>
        <v>0.5</v>
      </c>
      <c r="D273" s="576">
        <f t="shared" si="86"/>
        <v>0.5</v>
      </c>
      <c r="E273" s="58">
        <v>0</v>
      </c>
      <c r="F273" s="58">
        <v>0</v>
      </c>
      <c r="G273" s="1365">
        <f t="shared" si="87"/>
        <v>2.5750641862458319</v>
      </c>
      <c r="H273" s="1102">
        <f t="shared" si="88"/>
        <v>12.875320931229158</v>
      </c>
      <c r="I273" s="58"/>
      <c r="J273" s="1211">
        <f t="shared" si="89"/>
        <v>0.77251925587374948</v>
      </c>
      <c r="K273" s="1364">
        <f>'Recycling - Case 3'!Z199</f>
        <v>4297.1410898359891</v>
      </c>
      <c r="L273" s="576">
        <f t="shared" si="94"/>
        <v>0.5</v>
      </c>
      <c r="M273" s="576">
        <f t="shared" si="90"/>
        <v>0.5</v>
      </c>
      <c r="N273" s="58">
        <f t="shared" si="95"/>
        <v>0</v>
      </c>
      <c r="O273" s="58">
        <f t="shared" si="95"/>
        <v>0</v>
      </c>
      <c r="P273" s="1365">
        <f t="shared" si="82"/>
        <v>1.7188564359343956</v>
      </c>
      <c r="Q273" s="1102">
        <f t="shared" si="83"/>
        <v>8.5942821796719784</v>
      </c>
      <c r="R273" s="58"/>
      <c r="S273" s="1211">
        <f t="shared" si="84"/>
        <v>0.51565693078031871</v>
      </c>
      <c r="T273" s="1198">
        <f t="shared" si="85"/>
        <v>4.2939206221802273</v>
      </c>
      <c r="U273" s="1613">
        <f t="shared" si="85"/>
        <v>21.469603110901136</v>
      </c>
      <c r="V273" s="1613">
        <f t="shared" si="85"/>
        <v>0</v>
      </c>
      <c r="W273" s="1200">
        <f t="shared" si="85"/>
        <v>1.2881761866540682</v>
      </c>
    </row>
    <row r="274" spans="1:23">
      <c r="A274" s="466">
        <f>'Input data'!A140</f>
        <v>2040</v>
      </c>
      <c r="B274" s="1366">
        <f>'Recycling - Case 3'!AI120</f>
        <v>6437.6604656145792</v>
      </c>
      <c r="C274" s="576">
        <f t="shared" si="93"/>
        <v>0.5</v>
      </c>
      <c r="D274" s="576">
        <f t="shared" si="86"/>
        <v>0.5</v>
      </c>
      <c r="E274" s="58">
        <v>0</v>
      </c>
      <c r="F274" s="58">
        <v>0</v>
      </c>
      <c r="G274" s="1365">
        <f t="shared" si="87"/>
        <v>2.5750641862458319</v>
      </c>
      <c r="H274" s="1102">
        <f t="shared" si="88"/>
        <v>12.875320931229158</v>
      </c>
      <c r="I274" s="58"/>
      <c r="J274" s="1211">
        <f t="shared" si="89"/>
        <v>0.77251925587374948</v>
      </c>
      <c r="K274" s="1364">
        <f>'Recycling - Case 3'!Z200</f>
        <v>4400.5229525333853</v>
      </c>
      <c r="L274" s="576">
        <f t="shared" si="94"/>
        <v>0.5</v>
      </c>
      <c r="M274" s="576">
        <f t="shared" si="90"/>
        <v>0.5</v>
      </c>
      <c r="N274" s="58">
        <f t="shared" si="95"/>
        <v>0</v>
      </c>
      <c r="O274" s="58">
        <f t="shared" si="95"/>
        <v>0</v>
      </c>
      <c r="P274" s="1365">
        <f t="shared" si="82"/>
        <v>1.7602091810133542</v>
      </c>
      <c r="Q274" s="1102">
        <f t="shared" si="83"/>
        <v>8.8010459050667702</v>
      </c>
      <c r="R274" s="58"/>
      <c r="S274" s="1211">
        <f t="shared" si="84"/>
        <v>0.52806275430400629</v>
      </c>
      <c r="T274" s="1198">
        <f t="shared" si="85"/>
        <v>4.3352733672591857</v>
      </c>
      <c r="U274" s="1613">
        <f t="shared" si="85"/>
        <v>21.676366836295927</v>
      </c>
      <c r="V274" s="1613">
        <f t="shared" si="85"/>
        <v>0</v>
      </c>
      <c r="W274" s="1200">
        <f t="shared" si="85"/>
        <v>1.3005820101777559</v>
      </c>
    </row>
    <row r="275" spans="1:23">
      <c r="A275" s="466">
        <f>'Input data'!A141</f>
        <v>2041</v>
      </c>
      <c r="B275" s="1366">
        <f>'Recycling - Case 3'!AI121</f>
        <v>6437.6604656145792</v>
      </c>
      <c r="C275" s="576">
        <f t="shared" si="93"/>
        <v>0.5</v>
      </c>
      <c r="D275" s="576">
        <f t="shared" si="86"/>
        <v>0.5</v>
      </c>
      <c r="E275" s="58">
        <v>0</v>
      </c>
      <c r="F275" s="58">
        <v>0</v>
      </c>
      <c r="G275" s="1365">
        <f t="shared" si="87"/>
        <v>2.5750641862458319</v>
      </c>
      <c r="H275" s="1102">
        <f t="shared" si="88"/>
        <v>12.875320931229158</v>
      </c>
      <c r="I275" s="58"/>
      <c r="J275" s="1211">
        <f t="shared" si="89"/>
        <v>0.77251925587374948</v>
      </c>
      <c r="K275" s="1364">
        <f>'Recycling - Case 3'!Z201</f>
        <v>4514.6270989529849</v>
      </c>
      <c r="L275" s="576">
        <f t="shared" si="94"/>
        <v>0.5</v>
      </c>
      <c r="M275" s="576">
        <f t="shared" si="90"/>
        <v>0.5</v>
      </c>
      <c r="N275" s="58">
        <f t="shared" si="95"/>
        <v>0</v>
      </c>
      <c r="O275" s="58">
        <f t="shared" si="95"/>
        <v>0</v>
      </c>
      <c r="P275" s="1365">
        <f t="shared" si="82"/>
        <v>1.8058508395811941</v>
      </c>
      <c r="Q275" s="1102">
        <f t="shared" si="83"/>
        <v>9.0292541979059688</v>
      </c>
      <c r="R275" s="58"/>
      <c r="S275" s="1211">
        <f t="shared" si="84"/>
        <v>0.54175525187435813</v>
      </c>
      <c r="T275" s="1198">
        <f t="shared" si="85"/>
        <v>4.3809150258270257</v>
      </c>
      <c r="U275" s="1613">
        <f t="shared" si="85"/>
        <v>21.904575129135125</v>
      </c>
      <c r="V275" s="1613">
        <f t="shared" si="85"/>
        <v>0</v>
      </c>
      <c r="W275" s="1200">
        <f t="shared" si="85"/>
        <v>1.3142745077481077</v>
      </c>
    </row>
    <row r="276" spans="1:23">
      <c r="A276" s="466">
        <f>'Input data'!A142</f>
        <v>2042</v>
      </c>
      <c r="B276" s="1366">
        <f>'Recycling - Case 3'!AI122</f>
        <v>6437.6604656145792</v>
      </c>
      <c r="C276" s="576">
        <f t="shared" si="93"/>
        <v>0.5</v>
      </c>
      <c r="D276" s="576">
        <f t="shared" si="86"/>
        <v>0.5</v>
      </c>
      <c r="E276" s="58">
        <v>0</v>
      </c>
      <c r="F276" s="58">
        <v>0</v>
      </c>
      <c r="G276" s="1365">
        <f t="shared" si="87"/>
        <v>2.5750641862458319</v>
      </c>
      <c r="H276" s="1102">
        <f t="shared" si="88"/>
        <v>12.875320931229158</v>
      </c>
      <c r="I276" s="58"/>
      <c r="J276" s="1211">
        <f t="shared" si="89"/>
        <v>0.77251925587374948</v>
      </c>
      <c r="K276" s="1364">
        <f>'Recycling - Case 3'!Z202</f>
        <v>4619.8617671313086</v>
      </c>
      <c r="L276" s="576">
        <f t="shared" si="94"/>
        <v>0.5</v>
      </c>
      <c r="M276" s="576">
        <f t="shared" si="90"/>
        <v>0.5</v>
      </c>
      <c r="N276" s="58">
        <f t="shared" si="95"/>
        <v>0</v>
      </c>
      <c r="O276" s="58">
        <f t="shared" si="95"/>
        <v>0</v>
      </c>
      <c r="P276" s="1365">
        <f t="shared" si="82"/>
        <v>1.8479447068525234</v>
      </c>
      <c r="Q276" s="1102">
        <f t="shared" si="83"/>
        <v>9.2397235342626178</v>
      </c>
      <c r="R276" s="58"/>
      <c r="S276" s="1211">
        <f t="shared" si="84"/>
        <v>0.55438341205575703</v>
      </c>
      <c r="T276" s="1198">
        <f t="shared" si="85"/>
        <v>4.4230088930983555</v>
      </c>
      <c r="U276" s="1613">
        <f t="shared" si="85"/>
        <v>22.115044465491778</v>
      </c>
      <c r="V276" s="1613">
        <f t="shared" si="85"/>
        <v>0</v>
      </c>
      <c r="W276" s="1200">
        <f t="shared" si="85"/>
        <v>1.3269026679295064</v>
      </c>
    </row>
    <row r="277" spans="1:23">
      <c r="A277" s="466">
        <f>'Input data'!A143</f>
        <v>2043</v>
      </c>
      <c r="B277" s="1366">
        <f>'Recycling - Case 3'!AI123</f>
        <v>6437.6604656145792</v>
      </c>
      <c r="C277" s="576">
        <f t="shared" si="93"/>
        <v>0.5</v>
      </c>
      <c r="D277" s="576">
        <f t="shared" si="86"/>
        <v>0.5</v>
      </c>
      <c r="E277" s="58">
        <v>0</v>
      </c>
      <c r="F277" s="58">
        <v>0</v>
      </c>
      <c r="G277" s="1365">
        <f t="shared" si="87"/>
        <v>2.5750641862458319</v>
      </c>
      <c r="H277" s="1102">
        <f t="shared" si="88"/>
        <v>12.875320931229158</v>
      </c>
      <c r="I277" s="58"/>
      <c r="J277" s="1211">
        <f t="shared" si="89"/>
        <v>0.77251925587374948</v>
      </c>
      <c r="K277" s="1364">
        <f>'Recycling - Case 3'!Z203</f>
        <v>4725.2965994162041</v>
      </c>
      <c r="L277" s="576">
        <f t="shared" si="94"/>
        <v>0.5</v>
      </c>
      <c r="M277" s="576">
        <f t="shared" si="90"/>
        <v>0.5</v>
      </c>
      <c r="N277" s="58">
        <f t="shared" si="95"/>
        <v>0</v>
      </c>
      <c r="O277" s="58">
        <f t="shared" si="95"/>
        <v>0</v>
      </c>
      <c r="P277" s="1365">
        <f t="shared" si="82"/>
        <v>1.8901186397664818</v>
      </c>
      <c r="Q277" s="1102">
        <f t="shared" si="83"/>
        <v>9.4505931988324079</v>
      </c>
      <c r="R277" s="58"/>
      <c r="S277" s="1211">
        <f t="shared" si="84"/>
        <v>0.56703559192994446</v>
      </c>
      <c r="T277" s="1198">
        <f t="shared" si="85"/>
        <v>4.4651828260123132</v>
      </c>
      <c r="U277" s="1613">
        <f t="shared" si="85"/>
        <v>22.325914130061566</v>
      </c>
      <c r="V277" s="1613">
        <f t="shared" si="85"/>
        <v>0</v>
      </c>
      <c r="W277" s="1200">
        <f t="shared" si="85"/>
        <v>1.339554847803694</v>
      </c>
    </row>
    <row r="278" spans="1:23">
      <c r="A278" s="466">
        <f>'Input data'!A144</f>
        <v>2044</v>
      </c>
      <c r="B278" s="1366">
        <f>'Recycling - Case 3'!AI124</f>
        <v>6437.6604656145792</v>
      </c>
      <c r="C278" s="576">
        <f t="shared" si="93"/>
        <v>0.5</v>
      </c>
      <c r="D278" s="576">
        <f t="shared" si="86"/>
        <v>0.5</v>
      </c>
      <c r="E278" s="58">
        <v>0</v>
      </c>
      <c r="F278" s="58">
        <v>0</v>
      </c>
      <c r="G278" s="1365">
        <f t="shared" si="87"/>
        <v>2.5750641862458319</v>
      </c>
      <c r="H278" s="1102">
        <f t="shared" si="88"/>
        <v>12.875320931229158</v>
      </c>
      <c r="I278" s="58"/>
      <c r="J278" s="1211">
        <f t="shared" si="89"/>
        <v>0.77251925587374948</v>
      </c>
      <c r="K278" s="1364">
        <f>'Recycling - Case 3'!Z204</f>
        <v>4833.0377582933197</v>
      </c>
      <c r="L278" s="576">
        <f t="shared" si="94"/>
        <v>0.5</v>
      </c>
      <c r="M278" s="576">
        <f t="shared" si="90"/>
        <v>0.5</v>
      </c>
      <c r="N278" s="58">
        <f t="shared" si="95"/>
        <v>0</v>
      </c>
      <c r="O278" s="58">
        <f t="shared" si="95"/>
        <v>0</v>
      </c>
      <c r="P278" s="1365">
        <f t="shared" si="82"/>
        <v>1.9332151033173279</v>
      </c>
      <c r="Q278" s="1102">
        <f t="shared" si="83"/>
        <v>9.6660755165866394</v>
      </c>
      <c r="R278" s="58"/>
      <c r="S278" s="1211">
        <f t="shared" si="84"/>
        <v>0.57996453099519829</v>
      </c>
      <c r="T278" s="1198">
        <f t="shared" si="85"/>
        <v>4.50827928956316</v>
      </c>
      <c r="U278" s="1613">
        <f t="shared" si="85"/>
        <v>22.541396447815799</v>
      </c>
      <c r="V278" s="1613">
        <f t="shared" si="85"/>
        <v>0</v>
      </c>
      <c r="W278" s="1200">
        <f t="shared" si="85"/>
        <v>1.3524837868689477</v>
      </c>
    </row>
    <row r="279" spans="1:23">
      <c r="A279" s="466">
        <f>'Input data'!A145</f>
        <v>2045</v>
      </c>
      <c r="B279" s="1366">
        <f>'Recycling - Case 3'!AI125</f>
        <v>6437.6604656145792</v>
      </c>
      <c r="C279" s="576">
        <f t="shared" si="93"/>
        <v>0.5</v>
      </c>
      <c r="D279" s="576">
        <f t="shared" si="86"/>
        <v>0.5</v>
      </c>
      <c r="E279" s="58">
        <v>0</v>
      </c>
      <c r="F279" s="58">
        <v>0</v>
      </c>
      <c r="G279" s="1365">
        <f t="shared" si="87"/>
        <v>2.5750641862458319</v>
      </c>
      <c r="H279" s="1102">
        <f t="shared" si="88"/>
        <v>12.875320931229158</v>
      </c>
      <c r="I279" s="58"/>
      <c r="J279" s="1211">
        <f t="shared" si="89"/>
        <v>0.77251925587374948</v>
      </c>
      <c r="K279" s="1364">
        <f>'Recycling - Case 3'!Z205</f>
        <v>4943.8418730466392</v>
      </c>
      <c r="L279" s="576">
        <f t="shared" si="94"/>
        <v>0.5</v>
      </c>
      <c r="M279" s="576">
        <f t="shared" si="90"/>
        <v>0.5</v>
      </c>
      <c r="N279" s="58">
        <f t="shared" si="95"/>
        <v>0</v>
      </c>
      <c r="O279" s="58">
        <f t="shared" si="95"/>
        <v>0</v>
      </c>
      <c r="P279" s="1365">
        <f t="shared" si="82"/>
        <v>1.9775367492186557</v>
      </c>
      <c r="Q279" s="1102">
        <f t="shared" si="83"/>
        <v>9.8876837460932787</v>
      </c>
      <c r="R279" s="58"/>
      <c r="S279" s="1211">
        <f t="shared" si="84"/>
        <v>0.59326102476559661</v>
      </c>
      <c r="T279" s="1198">
        <f t="shared" si="85"/>
        <v>4.5526009354644881</v>
      </c>
      <c r="U279" s="1613">
        <f t="shared" si="85"/>
        <v>22.763004677322435</v>
      </c>
      <c r="V279" s="1613">
        <f t="shared" si="85"/>
        <v>0</v>
      </c>
      <c r="W279" s="1200">
        <f t="shared" si="85"/>
        <v>1.365780280639346</v>
      </c>
    </row>
    <row r="280" spans="1:23">
      <c r="A280" s="466">
        <f>'Input data'!A146</f>
        <v>2046</v>
      </c>
      <c r="B280" s="1366">
        <f>'Recycling - Case 3'!AI126</f>
        <v>6437.6604656145792</v>
      </c>
      <c r="C280" s="576">
        <f t="shared" si="93"/>
        <v>0.5</v>
      </c>
      <c r="D280" s="576">
        <f t="shared" si="86"/>
        <v>0.5</v>
      </c>
      <c r="E280" s="58">
        <v>0</v>
      </c>
      <c r="F280" s="58">
        <v>0</v>
      </c>
      <c r="G280" s="1365">
        <f t="shared" si="87"/>
        <v>2.5750641862458319</v>
      </c>
      <c r="H280" s="1102">
        <f t="shared" si="88"/>
        <v>12.875320931229158</v>
      </c>
      <c r="I280" s="58"/>
      <c r="J280" s="1211">
        <f t="shared" si="89"/>
        <v>0.77251925587374948</v>
      </c>
      <c r="K280" s="1364">
        <f>'Recycling - Case 3'!Z206</f>
        <v>5067.2658790898813</v>
      </c>
      <c r="L280" s="576">
        <f t="shared" si="94"/>
        <v>0.5</v>
      </c>
      <c r="M280" s="576">
        <f t="shared" si="90"/>
        <v>0.5</v>
      </c>
      <c r="N280" s="58">
        <f t="shared" si="95"/>
        <v>0</v>
      </c>
      <c r="O280" s="58">
        <f t="shared" si="95"/>
        <v>0</v>
      </c>
      <c r="P280" s="1365">
        <f t="shared" si="82"/>
        <v>2.0269063516359527</v>
      </c>
      <c r="Q280" s="1102">
        <f t="shared" si="83"/>
        <v>10.134531758179763</v>
      </c>
      <c r="R280" s="58"/>
      <c r="S280" s="1211">
        <f t="shared" si="84"/>
        <v>0.60807190549078571</v>
      </c>
      <c r="T280" s="1198">
        <f t="shared" si="85"/>
        <v>4.601970537881785</v>
      </c>
      <c r="U280" s="1613">
        <f t="shared" si="85"/>
        <v>23.009852689408923</v>
      </c>
      <c r="V280" s="1613">
        <f t="shared" si="85"/>
        <v>0</v>
      </c>
      <c r="W280" s="1200">
        <f t="shared" si="85"/>
        <v>1.3805911613645352</v>
      </c>
    </row>
    <row r="281" spans="1:23">
      <c r="A281" s="466">
        <f>'Input data'!A147</f>
        <v>2047</v>
      </c>
      <c r="B281" s="1366">
        <f>'Recycling - Case 3'!AI127</f>
        <v>6437.6604656145792</v>
      </c>
      <c r="C281" s="576">
        <f t="shared" si="93"/>
        <v>0.5</v>
      </c>
      <c r="D281" s="576">
        <f t="shared" si="86"/>
        <v>0.5</v>
      </c>
      <c r="E281" s="58">
        <v>0</v>
      </c>
      <c r="F281" s="58">
        <v>0</v>
      </c>
      <c r="G281" s="1365">
        <f t="shared" si="87"/>
        <v>2.5750641862458319</v>
      </c>
      <c r="H281" s="1102">
        <f t="shared" si="88"/>
        <v>12.875320931229158</v>
      </c>
      <c r="I281" s="58"/>
      <c r="J281" s="1211">
        <f t="shared" si="89"/>
        <v>0.77251925587374948</v>
      </c>
      <c r="K281" s="1364">
        <f>'Recycling - Case 3'!Z207</f>
        <v>5163.6864504210689</v>
      </c>
      <c r="L281" s="576">
        <f t="shared" si="94"/>
        <v>0.5</v>
      </c>
      <c r="M281" s="576">
        <f t="shared" si="90"/>
        <v>0.5</v>
      </c>
      <c r="N281" s="58">
        <f t="shared" si="95"/>
        <v>0</v>
      </c>
      <c r="O281" s="58">
        <f t="shared" si="95"/>
        <v>0</v>
      </c>
      <c r="P281" s="1365">
        <f t="shared" si="82"/>
        <v>2.0654745801684276</v>
      </c>
      <c r="Q281" s="1102">
        <f t="shared" si="83"/>
        <v>10.327372900842137</v>
      </c>
      <c r="R281" s="58"/>
      <c r="S281" s="1211">
        <f t="shared" si="84"/>
        <v>0.61964237405052824</v>
      </c>
      <c r="T281" s="1198">
        <f t="shared" si="85"/>
        <v>4.6405387664142594</v>
      </c>
      <c r="U281" s="1613">
        <f t="shared" si="85"/>
        <v>23.202693832071297</v>
      </c>
      <c r="V281" s="1613">
        <f t="shared" si="85"/>
        <v>0</v>
      </c>
      <c r="W281" s="1200">
        <f t="shared" si="85"/>
        <v>1.3921616299242778</v>
      </c>
    </row>
    <row r="282" spans="1:23">
      <c r="A282" s="466">
        <f>'Input data'!A148</f>
        <v>2048</v>
      </c>
      <c r="B282" s="1366">
        <f>'Recycling - Case 3'!AI128</f>
        <v>6437.6604656145792</v>
      </c>
      <c r="C282" s="576">
        <f t="shared" si="93"/>
        <v>0.5</v>
      </c>
      <c r="D282" s="576">
        <f t="shared" si="86"/>
        <v>0.5</v>
      </c>
      <c r="E282" s="58">
        <v>0</v>
      </c>
      <c r="F282" s="58">
        <v>0</v>
      </c>
      <c r="G282" s="1365">
        <f t="shared" si="87"/>
        <v>2.5750641862458319</v>
      </c>
      <c r="H282" s="1102">
        <f t="shared" si="88"/>
        <v>12.875320931229158</v>
      </c>
      <c r="I282" s="58"/>
      <c r="J282" s="1211">
        <f t="shared" si="89"/>
        <v>0.77251925587374948</v>
      </c>
      <c r="K282" s="1364">
        <f>'Recycling - Case 3'!Z208</f>
        <v>5262.5257223033932</v>
      </c>
      <c r="L282" s="576">
        <f t="shared" si="94"/>
        <v>0.5</v>
      </c>
      <c r="M282" s="576">
        <f t="shared" si="90"/>
        <v>0.5</v>
      </c>
      <c r="N282" s="58">
        <f t="shared" si="95"/>
        <v>0</v>
      </c>
      <c r="O282" s="58">
        <f t="shared" si="95"/>
        <v>0</v>
      </c>
      <c r="P282" s="1365">
        <f t="shared" si="82"/>
        <v>2.1050102889213571</v>
      </c>
      <c r="Q282" s="1102">
        <f t="shared" si="83"/>
        <v>10.525051444606786</v>
      </c>
      <c r="R282" s="58"/>
      <c r="S282" s="1211">
        <f t="shared" si="84"/>
        <v>0.6315030866764072</v>
      </c>
      <c r="T282" s="1198">
        <f t="shared" si="85"/>
        <v>4.6800744751671886</v>
      </c>
      <c r="U282" s="1613">
        <f t="shared" si="85"/>
        <v>23.400372375835943</v>
      </c>
      <c r="V282" s="1613">
        <f t="shared" si="85"/>
        <v>0</v>
      </c>
      <c r="W282" s="1200">
        <f t="shared" si="85"/>
        <v>1.4040223425501566</v>
      </c>
    </row>
    <row r="283" spans="1:23">
      <c r="A283" s="466">
        <f>'Input data'!A149</f>
        <v>2049</v>
      </c>
      <c r="B283" s="1366">
        <f>'Recycling - Case 3'!AI129</f>
        <v>6437.6604656145792</v>
      </c>
      <c r="C283" s="576">
        <f t="shared" si="93"/>
        <v>0.5</v>
      </c>
      <c r="D283" s="576">
        <f t="shared" si="86"/>
        <v>0.5</v>
      </c>
      <c r="E283" s="58">
        <v>0</v>
      </c>
      <c r="F283" s="58">
        <v>0</v>
      </c>
      <c r="G283" s="1365">
        <f t="shared" si="87"/>
        <v>2.5750641862458319</v>
      </c>
      <c r="H283" s="1102">
        <f t="shared" si="88"/>
        <v>12.875320931229158</v>
      </c>
      <c r="I283" s="58"/>
      <c r="J283" s="1211">
        <f t="shared" si="89"/>
        <v>0.77251925587374948</v>
      </c>
      <c r="K283" s="1364">
        <f>'Recycling - Case 3'!Z209</f>
        <v>5358.4864389974309</v>
      </c>
      <c r="L283" s="576">
        <f t="shared" si="94"/>
        <v>0.5</v>
      </c>
      <c r="M283" s="576">
        <f t="shared" si="90"/>
        <v>0.5</v>
      </c>
      <c r="N283" s="58">
        <f t="shared" si="95"/>
        <v>0</v>
      </c>
      <c r="O283" s="58">
        <f t="shared" si="95"/>
        <v>0</v>
      </c>
      <c r="P283" s="1365">
        <f t="shared" si="82"/>
        <v>2.1433945755989727</v>
      </c>
      <c r="Q283" s="1102">
        <f t="shared" si="83"/>
        <v>10.716972877994861</v>
      </c>
      <c r="R283" s="58"/>
      <c r="S283" s="1211">
        <f t="shared" si="84"/>
        <v>0.64301837267969164</v>
      </c>
      <c r="T283" s="1198">
        <f t="shared" si="85"/>
        <v>4.7184587618448042</v>
      </c>
      <c r="U283" s="1613">
        <f t="shared" si="85"/>
        <v>23.592293809224017</v>
      </c>
      <c r="V283" s="1613">
        <f t="shared" si="85"/>
        <v>0</v>
      </c>
      <c r="W283" s="1200">
        <f t="shared" si="85"/>
        <v>1.4155376285534411</v>
      </c>
    </row>
    <row r="284" spans="1:23" ht="15.75" thickBot="1">
      <c r="A284" s="1363">
        <f>'Input data'!A150</f>
        <v>2050</v>
      </c>
      <c r="B284" s="1614">
        <f>'Recycling - Case 3'!AI130</f>
        <v>6437.6604656145792</v>
      </c>
      <c r="C284" s="578">
        <f t="shared" si="93"/>
        <v>0.5</v>
      </c>
      <c r="D284" s="578">
        <f t="shared" si="86"/>
        <v>0.5</v>
      </c>
      <c r="E284" s="1212">
        <v>0</v>
      </c>
      <c r="F284" s="1212">
        <v>0</v>
      </c>
      <c r="G284" s="1213">
        <f t="shared" si="87"/>
        <v>2.5750641862458319</v>
      </c>
      <c r="H284" s="1144">
        <f t="shared" si="88"/>
        <v>12.875320931229158</v>
      </c>
      <c r="I284" s="1212"/>
      <c r="J284" s="1214">
        <f t="shared" si="89"/>
        <v>0.77251925587374948</v>
      </c>
      <c r="K284" s="1485">
        <f>'Recycling - Case 3'!Z210</f>
        <v>5457.3324760629976</v>
      </c>
      <c r="L284" s="578">
        <f t="shared" si="94"/>
        <v>0.5</v>
      </c>
      <c r="M284" s="578">
        <f t="shared" si="90"/>
        <v>0.5</v>
      </c>
      <c r="N284" s="1212">
        <f t="shared" ref="N284:O284" si="96">N146</f>
        <v>0</v>
      </c>
      <c r="O284" s="1212">
        <f t="shared" si="96"/>
        <v>0</v>
      </c>
      <c r="P284" s="1213">
        <f t="shared" si="82"/>
        <v>2.1829329904251988</v>
      </c>
      <c r="Q284" s="1144">
        <f t="shared" si="83"/>
        <v>10.914664952125996</v>
      </c>
      <c r="R284" s="1212"/>
      <c r="S284" s="1214">
        <f t="shared" si="84"/>
        <v>0.65487989712755978</v>
      </c>
      <c r="T284" s="1215">
        <f t="shared" si="85"/>
        <v>4.7579971766710312</v>
      </c>
      <c r="U284" s="1216">
        <f t="shared" si="85"/>
        <v>23.789985883355154</v>
      </c>
      <c r="V284" s="1216">
        <f t="shared" si="85"/>
        <v>0</v>
      </c>
      <c r="W284" s="1217">
        <f t="shared" si="85"/>
        <v>1.4273991530013093</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5"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6"/>
      <c r="AJ12" s="1386"/>
      <c r="AK12" s="1386"/>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6"/>
      <c r="AJ13" s="1386"/>
      <c r="AK13" s="1386"/>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6"/>
      <c r="AJ14" s="1386"/>
      <c r="AK14" s="1386"/>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6"/>
      <c r="AJ15" s="1386"/>
      <c r="AK15" s="1386"/>
    </row>
    <row r="16" spans="1:37">
      <c r="AB16" s="99"/>
      <c r="AC16" s="99"/>
      <c r="AD16" s="99"/>
      <c r="AE16" s="99"/>
      <c r="AF16" s="99"/>
      <c r="AG16" s="99"/>
      <c r="AH16" s="99"/>
      <c r="AI16" s="1386"/>
      <c r="AJ16" s="1386"/>
      <c r="AK16" s="1386"/>
    </row>
    <row r="17" spans="1:171" ht="15.75" thickBot="1">
      <c r="C17" s="1" t="s">
        <v>267</v>
      </c>
      <c r="AH17" s="1"/>
      <c r="AI17" s="1386"/>
      <c r="AJ17" s="1386"/>
      <c r="AK17" s="1386"/>
    </row>
    <row r="18" spans="1:171">
      <c r="A18" s="2004" t="s">
        <v>217</v>
      </c>
      <c r="B18" s="2002" t="str">
        <f>A4</f>
        <v>Fraction of the population  burning waste (Pfrac)</v>
      </c>
      <c r="C18" s="1999" t="s">
        <v>784</v>
      </c>
      <c r="D18" s="2000"/>
      <c r="E18" s="2000"/>
      <c r="F18" s="2000"/>
      <c r="G18" s="2000"/>
      <c r="H18" s="2000"/>
      <c r="I18" s="2000"/>
      <c r="J18" s="2001"/>
      <c r="K18" s="1999" t="s">
        <v>286</v>
      </c>
      <c r="L18" s="2000"/>
      <c r="M18" s="2000"/>
      <c r="N18" s="2000"/>
      <c r="O18" s="2000"/>
      <c r="P18" s="2000"/>
      <c r="Q18" s="2000"/>
      <c r="R18" s="2001"/>
      <c r="S18" s="494" t="s">
        <v>291</v>
      </c>
      <c r="T18" s="495"/>
      <c r="U18" s="495"/>
      <c r="V18" s="496" t="s">
        <v>285</v>
      </c>
      <c r="W18" s="495"/>
      <c r="X18" s="495"/>
      <c r="Y18" s="495"/>
      <c r="Z18" s="497"/>
      <c r="AA18" s="1999" t="s">
        <v>287</v>
      </c>
      <c r="AB18" s="2000"/>
      <c r="AC18" s="2000"/>
      <c r="AD18" s="2000"/>
      <c r="AE18" s="2000"/>
      <c r="AF18" s="2000"/>
      <c r="AG18" s="2000"/>
      <c r="AH18" s="2001"/>
      <c r="AI18" s="1386"/>
      <c r="AJ18" s="1386"/>
      <c r="AK18" s="1386"/>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5"/>
      <c r="B19" s="2003"/>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6"/>
      <c r="AJ19" s="1386"/>
      <c r="AK19" s="1386"/>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6"/>
      <c r="AJ20" s="1386"/>
      <c r="AK20" s="1386"/>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6"/>
      <c r="AJ21" s="1386"/>
      <c r="AK21" s="1386"/>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6"/>
      <c r="AJ22" s="1386"/>
      <c r="AK22" s="1386"/>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6"/>
      <c r="AJ23" s="1386"/>
      <c r="AK23" s="1386"/>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6"/>
      <c r="AJ24" s="1386"/>
      <c r="AK24" s="1386"/>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6"/>
      <c r="AJ25" s="1386"/>
      <c r="AK25" s="1386"/>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6"/>
      <c r="AJ26" s="1386"/>
      <c r="AK26" s="1386"/>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6"/>
      <c r="AJ27" s="1386"/>
      <c r="AK27" s="1386"/>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6"/>
      <c r="AJ28" s="1386"/>
      <c r="AK28" s="1386"/>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6"/>
      <c r="AJ29" s="1386"/>
      <c r="AK29" s="1386"/>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6"/>
      <c r="AJ30" s="1386"/>
      <c r="AK30" s="1386"/>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6"/>
      <c r="AJ31" s="1386"/>
      <c r="AK31" s="1386"/>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6"/>
      <c r="AJ32" s="1386"/>
      <c r="AK32" s="1386"/>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6"/>
      <c r="AJ33" s="1386"/>
      <c r="AK33" s="1386"/>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6"/>
      <c r="AJ34" s="1386"/>
      <c r="AK34" s="1386"/>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6"/>
      <c r="AJ35" s="1386"/>
      <c r="AK35" s="1386"/>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6"/>
      <c r="AJ36" s="1386"/>
      <c r="AK36" s="1386"/>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6"/>
      <c r="AJ37" s="1386"/>
      <c r="AK37" s="1386"/>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6"/>
      <c r="AJ38" s="1386"/>
      <c r="AK38" s="1386"/>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6"/>
      <c r="AJ39" s="1386"/>
      <c r="AK39" s="1386"/>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6"/>
      <c r="AJ40" s="1386"/>
      <c r="AK40" s="1386"/>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6"/>
      <c r="AJ41" s="1386"/>
      <c r="AK41" s="1386"/>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6"/>
      <c r="AJ42" s="1386"/>
      <c r="AK42" s="1386"/>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6"/>
      <c r="AJ43" s="1386"/>
      <c r="AK43" s="1386"/>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6"/>
      <c r="AJ44" s="1386"/>
      <c r="AK44" s="1386"/>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6"/>
      <c r="AJ45" s="1386"/>
      <c r="AK45" s="1386"/>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6"/>
      <c r="AJ46" s="1386"/>
      <c r="AK46" s="1386"/>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6"/>
      <c r="AJ47" s="1386"/>
      <c r="AK47" s="1386"/>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6"/>
      <c r="AJ48" s="1386"/>
      <c r="AK48" s="1386"/>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6"/>
      <c r="AJ49" s="1386"/>
      <c r="AK49" s="1386"/>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6"/>
      <c r="AJ50" s="1386"/>
      <c r="AK50" s="1386"/>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6"/>
      <c r="AJ51" s="1386"/>
      <c r="AK51" s="1386"/>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6"/>
      <c r="AJ52" s="1386"/>
      <c r="AK52" s="1386"/>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6"/>
      <c r="AJ53" s="1386"/>
      <c r="AK53" s="1386"/>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6"/>
      <c r="AJ54" s="1386"/>
      <c r="AK54" s="1386"/>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6"/>
      <c r="AJ55" s="1386"/>
      <c r="AK55" s="1386"/>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6"/>
      <c r="AJ56" s="1386"/>
      <c r="AK56" s="1386"/>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6"/>
      <c r="AJ57" s="1386"/>
      <c r="AK57" s="1386"/>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6"/>
      <c r="AJ58" s="1386"/>
      <c r="AK58" s="1386"/>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6"/>
      <c r="AJ59" s="1386"/>
      <c r="AK59" s="1386"/>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6"/>
      <c r="AJ60" s="1386"/>
      <c r="AK60" s="1386"/>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6"/>
      <c r="AJ61" s="1386"/>
      <c r="AK61" s="1386"/>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6"/>
      <c r="AJ62" s="1386"/>
      <c r="AK62" s="1386"/>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6"/>
      <c r="AJ63" s="1386"/>
      <c r="AK63" s="1386"/>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6"/>
      <c r="AJ64" s="1386"/>
      <c r="AK64" s="1386"/>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6"/>
      <c r="AJ65" s="1386"/>
      <c r="AK65" s="1386"/>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6"/>
      <c r="AJ66" s="1386"/>
      <c r="AK66" s="1386"/>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6"/>
      <c r="AJ67" s="1386"/>
      <c r="AK67" s="1386"/>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6"/>
      <c r="AJ68" s="1386"/>
      <c r="AK68" s="1386"/>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6"/>
      <c r="AJ69" s="1386"/>
      <c r="AK69" s="1386"/>
      <c r="AL69" s="104"/>
      <c r="AQ69" s="99"/>
      <c r="AR69" s="99"/>
      <c r="AS69" s="99"/>
    </row>
    <row r="70" spans="1:45">
      <c r="A70" s="483">
        <f>'Input data'!A100</f>
        <v>2000</v>
      </c>
      <c r="B70" s="1367">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68">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4">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6"/>
      <c r="AJ70" s="418"/>
      <c r="AK70" s="528"/>
      <c r="AL70" s="528"/>
      <c r="AM70" s="775"/>
      <c r="AN70" s="775"/>
      <c r="AO70" s="775"/>
      <c r="AP70" s="775"/>
      <c r="AQ70" s="939"/>
      <c r="AR70" s="938"/>
      <c r="AS70" s="99"/>
    </row>
    <row r="71" spans="1:45">
      <c r="A71" s="489">
        <f>'Input data'!A101</f>
        <v>2001</v>
      </c>
      <c r="B71" s="1367">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2">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6"/>
      <c r="AJ71" s="418"/>
      <c r="AK71" s="528"/>
      <c r="AL71" s="528"/>
      <c r="AM71" s="775"/>
      <c r="AN71" s="775"/>
      <c r="AO71" s="775"/>
      <c r="AP71" s="775"/>
      <c r="AQ71" s="939"/>
      <c r="AR71" s="938"/>
      <c r="AS71" s="99"/>
    </row>
    <row r="72" spans="1:45">
      <c r="A72" s="489">
        <f>'Input data'!A102</f>
        <v>2002</v>
      </c>
      <c r="B72" s="1367">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2">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6"/>
      <c r="AJ72" s="418"/>
      <c r="AK72" s="528"/>
      <c r="AL72" s="528"/>
      <c r="AM72" s="775"/>
      <c r="AN72" s="775"/>
      <c r="AO72" s="775"/>
      <c r="AP72" s="775"/>
      <c r="AQ72" s="939"/>
      <c r="AR72" s="938"/>
      <c r="AS72" s="99"/>
    </row>
    <row r="73" spans="1:45">
      <c r="A73" s="489">
        <f>'Input data'!A103</f>
        <v>2003</v>
      </c>
      <c r="B73" s="1367">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2">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6"/>
      <c r="AJ73" s="418"/>
      <c r="AK73" s="528"/>
      <c r="AL73" s="528"/>
      <c r="AM73" s="775"/>
      <c r="AN73" s="775"/>
      <c r="AO73" s="775"/>
      <c r="AP73" s="775"/>
      <c r="AQ73" s="939"/>
      <c r="AR73" s="938"/>
      <c r="AS73" s="99"/>
    </row>
    <row r="74" spans="1:45">
      <c r="A74" s="489">
        <f>'Input data'!A104</f>
        <v>2004</v>
      </c>
      <c r="B74" s="1367">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2">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6"/>
      <c r="AJ74" s="418"/>
      <c r="AK74" s="528"/>
      <c r="AL74" s="528"/>
      <c r="AM74" s="775"/>
      <c r="AN74" s="775"/>
      <c r="AO74" s="775"/>
      <c r="AP74" s="775"/>
      <c r="AQ74" s="939"/>
      <c r="AR74" s="938"/>
      <c r="AS74" s="99"/>
    </row>
    <row r="75" spans="1:45">
      <c r="A75" s="489">
        <f>'Input data'!A105</f>
        <v>2005</v>
      </c>
      <c r="B75" s="1367">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2">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6"/>
      <c r="AJ75" s="418"/>
      <c r="AK75" s="528"/>
      <c r="AL75" s="528"/>
      <c r="AM75" s="775"/>
      <c r="AN75" s="775"/>
      <c r="AO75" s="775"/>
      <c r="AP75" s="775"/>
      <c r="AQ75" s="939"/>
      <c r="AR75" s="938"/>
      <c r="AS75" s="99"/>
    </row>
    <row r="76" spans="1:45">
      <c r="A76" s="489">
        <f>'Input data'!A106</f>
        <v>2006</v>
      </c>
      <c r="B76" s="1367">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2">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6"/>
      <c r="AJ76" s="418"/>
      <c r="AK76" s="528"/>
      <c r="AL76" s="528"/>
      <c r="AM76" s="775"/>
      <c r="AN76" s="775"/>
      <c r="AO76" s="775"/>
      <c r="AP76" s="775"/>
      <c r="AQ76" s="939"/>
      <c r="AR76" s="938"/>
      <c r="AS76" s="99"/>
    </row>
    <row r="77" spans="1:45">
      <c r="A77" s="489">
        <f>'Input data'!A107</f>
        <v>2007</v>
      </c>
      <c r="B77" s="1367">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2">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6"/>
      <c r="AJ77" s="418"/>
      <c r="AK77" s="528"/>
      <c r="AL77" s="528"/>
      <c r="AM77" s="775"/>
      <c r="AN77" s="775"/>
      <c r="AO77" s="775"/>
      <c r="AP77" s="775"/>
      <c r="AQ77" s="939"/>
      <c r="AR77" s="938"/>
      <c r="AS77" s="99"/>
    </row>
    <row r="78" spans="1:45">
      <c r="A78" s="489">
        <f>'Input data'!A108</f>
        <v>2008</v>
      </c>
      <c r="B78" s="1367">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2">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6"/>
      <c r="AJ78" s="418"/>
      <c r="AK78" s="528"/>
      <c r="AL78" s="528"/>
      <c r="AM78" s="775"/>
      <c r="AN78" s="775"/>
      <c r="AO78" s="775"/>
      <c r="AP78" s="775"/>
      <c r="AQ78" s="939"/>
      <c r="AR78" s="938"/>
      <c r="AS78" s="99"/>
    </row>
    <row r="79" spans="1:45">
      <c r="A79" s="489">
        <f>'Input data'!A109</f>
        <v>2009</v>
      </c>
      <c r="B79" s="1367">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2">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6"/>
      <c r="AJ79" s="418"/>
      <c r="AK79" s="528"/>
      <c r="AL79" s="528"/>
      <c r="AM79" s="775"/>
      <c r="AN79" s="775"/>
      <c r="AO79" s="775"/>
      <c r="AP79" s="775"/>
      <c r="AQ79" s="939"/>
      <c r="AR79" s="938"/>
      <c r="AS79" s="99"/>
    </row>
    <row r="80" spans="1:45">
      <c r="A80" s="489">
        <f>'Input data'!A110</f>
        <v>2010</v>
      </c>
      <c r="B80" s="1367">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2">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6"/>
      <c r="AJ80" s="418"/>
      <c r="AK80" s="528"/>
      <c r="AL80" s="528"/>
      <c r="AM80" s="775"/>
      <c r="AN80" s="775"/>
      <c r="AO80" s="775"/>
      <c r="AP80" s="775"/>
      <c r="AQ80" s="939"/>
      <c r="AR80" s="938"/>
      <c r="AS80" s="99"/>
    </row>
    <row r="81" spans="1:45">
      <c r="A81" s="489">
        <f>'Input data'!A111</f>
        <v>2011</v>
      </c>
      <c r="B81" s="1367">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2">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6"/>
      <c r="AJ81" s="418"/>
      <c r="AK81" s="528"/>
      <c r="AL81" s="528"/>
      <c r="AM81" s="775"/>
      <c r="AN81" s="775"/>
      <c r="AO81" s="775"/>
      <c r="AP81" s="775"/>
      <c r="AQ81" s="939"/>
      <c r="AR81" s="938"/>
      <c r="AS81" s="99"/>
    </row>
    <row r="82" spans="1:45">
      <c r="A82" s="489">
        <f>'Input data'!A112</f>
        <v>2012</v>
      </c>
      <c r="B82" s="1367">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2">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6"/>
      <c r="AJ82" s="418"/>
      <c r="AK82" s="528"/>
      <c r="AL82" s="528"/>
      <c r="AM82" s="775"/>
      <c r="AN82" s="775"/>
      <c r="AO82" s="775"/>
      <c r="AP82" s="775"/>
      <c r="AQ82" s="939"/>
      <c r="AR82" s="938"/>
      <c r="AS82" s="99"/>
    </row>
    <row r="83" spans="1:45">
      <c r="A83" s="489">
        <f>'Input data'!A113</f>
        <v>2013</v>
      </c>
      <c r="B83" s="1367">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2">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6"/>
      <c r="AJ83" s="418"/>
      <c r="AK83" s="528"/>
      <c r="AL83" s="528"/>
      <c r="AM83" s="775"/>
      <c r="AN83" s="775"/>
      <c r="AO83" s="775"/>
      <c r="AP83" s="775"/>
      <c r="AQ83" s="939"/>
      <c r="AR83" s="938"/>
      <c r="AS83" s="99"/>
    </row>
    <row r="84" spans="1:45">
      <c r="A84" s="489">
        <f>'Input data'!A114</f>
        <v>2014</v>
      </c>
      <c r="B84" s="1367">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2">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6"/>
      <c r="AJ84" s="418"/>
      <c r="AK84" s="528"/>
      <c r="AL84" s="528"/>
      <c r="AM84" s="775"/>
      <c r="AN84" s="775"/>
      <c r="AO84" s="775"/>
      <c r="AP84" s="775"/>
      <c r="AQ84" s="939"/>
      <c r="AR84" s="938"/>
      <c r="AS84" s="99"/>
    </row>
    <row r="85" spans="1:45">
      <c r="A85" s="489">
        <f>'Input data'!A115</f>
        <v>2015</v>
      </c>
      <c r="B85" s="1367">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2">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6"/>
      <c r="AJ85" s="418"/>
      <c r="AK85" s="528"/>
      <c r="AL85" s="528"/>
      <c r="AM85" s="775"/>
      <c r="AN85" s="775"/>
      <c r="AO85" s="775"/>
      <c r="AP85" s="775"/>
      <c r="AQ85" s="939"/>
      <c r="AR85" s="938"/>
      <c r="AS85" s="99"/>
    </row>
    <row r="86" spans="1:45">
      <c r="A86" s="489">
        <f>'Input data'!A116</f>
        <v>2016</v>
      </c>
      <c r="B86" s="1367">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2">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6"/>
      <c r="AJ86" s="418"/>
      <c r="AK86" s="528"/>
      <c r="AL86" s="528"/>
      <c r="AM86" s="775"/>
      <c r="AN86" s="775"/>
      <c r="AO86" s="775"/>
      <c r="AP86" s="775"/>
      <c r="AQ86" s="939"/>
      <c r="AR86" s="938"/>
      <c r="AS86" s="99"/>
    </row>
    <row r="87" spans="1:45" ht="15.75" thickBot="1">
      <c r="A87" s="489">
        <f>'Input data'!A117</f>
        <v>2017</v>
      </c>
      <c r="B87" s="1367">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69">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5">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6"/>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0"/>
      <c r="T88" s="1370"/>
      <c r="U88" s="1370"/>
      <c r="V88" s="1370"/>
      <c r="W88" s="1370"/>
      <c r="X88" s="1370"/>
      <c r="Y88" s="1370"/>
      <c r="Z88" s="1371"/>
      <c r="AA88" s="946"/>
      <c r="AB88" s="946"/>
      <c r="AC88" s="946"/>
      <c r="AD88" s="946"/>
      <c r="AE88" s="946"/>
      <c r="AF88" s="946"/>
      <c r="AG88" s="946"/>
      <c r="AH88" s="947"/>
      <c r="AI88" s="1386"/>
      <c r="AJ88" s="1386"/>
      <c r="AK88" s="1386"/>
      <c r="AQ88" s="99"/>
      <c r="AR88" s="99"/>
      <c r="AS88" s="99"/>
    </row>
    <row r="89" spans="1:45">
      <c r="A89" s="483">
        <f>'Input data'!A118</f>
        <v>2018</v>
      </c>
      <c r="B89" s="1631">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6">
        <f>'4C2 Open-burning '!C$14*'4C2 Open-burning '!$C$5*'4C2 Open-burning '!$C$6*'4C2 Open-burning '!$C$7*C89</f>
        <v>0</v>
      </c>
      <c r="L89" s="1376">
        <f>'4C2 Open-burning '!D$14*'4C2 Open-burning '!$C$5*'4C2 Open-burning '!$C$6*'4C2 Open-burning '!$C$7*D89</f>
        <v>0</v>
      </c>
      <c r="M89" s="1376">
        <f>'4C2 Open-burning '!E$14*'4C2 Open-burning '!$C$5*'4C2 Open-burning '!$C$6*'4C2 Open-burning '!$C$7*E89</f>
        <v>1.2412560579853615</v>
      </c>
      <c r="N89" s="1376">
        <f>'4C2 Open-burning '!F$14*'4C2 Open-burning '!$C$5*'4C2 Open-burning '!$C$6*'4C2 Open-burning '!$C$7*F89</f>
        <v>0</v>
      </c>
      <c r="O89" s="1376">
        <f>'4C2 Open-burning '!G$14*'4C2 Open-burning '!$C$5*'4C2 Open-burning '!$C$6*'4C2 Open-burning '!$C$7*G89</f>
        <v>0</v>
      </c>
      <c r="P89" s="1376">
        <f>'4C2 Open-burning '!H$14*'4C2 Open-burning '!$C$5*'4C2 Open-burning '!$C$6*'4C2 Open-burning '!$C$7*H89</f>
        <v>0</v>
      </c>
      <c r="Q89" s="1376">
        <f>'4C2 Open-burning '!I$14*'4C2 Open-burning '!$C$5*'4C2 Open-burning '!$C$6*'4C2 Open-burning '!$C$7*I89</f>
        <v>31.649248248935674</v>
      </c>
      <c r="R89" s="1377">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6"/>
      <c r="AJ89" s="1386"/>
      <c r="AK89" s="1386"/>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78">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6"/>
      <c r="AJ90" s="1386"/>
      <c r="AK90" s="1386"/>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78">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6"/>
      <c r="AJ91" s="1386"/>
      <c r="AK91" s="1386"/>
    </row>
    <row r="92" spans="1:45">
      <c r="A92" s="489">
        <f>'Input data'!A121</f>
        <v>2021</v>
      </c>
      <c r="B92" s="122">
        <f>'Recycling - Case 1'!AP101</f>
        <v>0.11293476596976883</v>
      </c>
      <c r="C92" s="527">
        <f>$B92*'Recycling - Case 1'!BM101*'Recycling - Case 1'!$AK101</f>
        <v>761.23286402600684</v>
      </c>
      <c r="D92" s="528">
        <f>$B92*'Recycling - Case 1'!BN101*'Recycling - Case 1'!$AK101</f>
        <v>795.03558244891724</v>
      </c>
      <c r="E92" s="528">
        <f>$B92*'Recycling - Case 1'!BO101*'Recycling - Case 1'!$AK101</f>
        <v>217.14835299767509</v>
      </c>
      <c r="F92" s="528">
        <f>$B92*'Recycling - Case 1'!BP101*'Recycling - Case 1'!$AK101</f>
        <v>0</v>
      </c>
      <c r="G92" s="528">
        <f>$B92*'Recycling - Case 1'!BQ101*'Recycling - Case 1'!$AK101</f>
        <v>0</v>
      </c>
      <c r="H92" s="528">
        <f>$B92*'Recycling - Case 1'!BR101*'Recycling - Case 1'!$AK101</f>
        <v>0</v>
      </c>
      <c r="I92" s="528">
        <f>$B92*'Recycling - Case 1'!BS101*'Recycling - Case 1'!$AK101</f>
        <v>848.97545510788632</v>
      </c>
      <c r="J92" s="744">
        <f t="shared" si="11"/>
        <v>2622.3922545804853</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1.1471165754796384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29.248902379376897</v>
      </c>
      <c r="R92" s="1378">
        <f t="shared" si="8"/>
        <v>30.396018954856537</v>
      </c>
      <c r="S92" s="485">
        <f>C92*'4C2 Open-burning '!$C$9*'4C2 Open-burning '!$C$11*$C$5</f>
        <v>2.9688081697014264</v>
      </c>
      <c r="T92" s="485">
        <f>D92*'4C2 Open-burning '!$C$9*'4C2 Open-burning '!$C$11*$C$5</f>
        <v>3.1006387715507771</v>
      </c>
      <c r="U92" s="485">
        <f>E92*'4C2 Open-burning '!$C$9*'4C2 Open-burning '!$C$11*$C$5</f>
        <v>0.84687857669093269</v>
      </c>
      <c r="V92" s="485">
        <f>F92*'4C2 Open-burning '!$C$9*'4C2 Open-burning '!$C$11*$C$5</f>
        <v>0</v>
      </c>
      <c r="W92" s="485">
        <f>G92*'4C2 Open-burning '!$C$9*'4C2 Open-burning '!$C$11*$C$5</f>
        <v>0</v>
      </c>
      <c r="X92" s="485">
        <f>H92*'4C2 Open-burning '!$C$9*'4C2 Open-burning '!$C$11*$C$5</f>
        <v>0</v>
      </c>
      <c r="Y92" s="485">
        <f>I92*'4C2 Open-burning '!$C$9*'4C2 Open-burning '!$C$11*$C$5</f>
        <v>3.3110042749207564</v>
      </c>
      <c r="Z92" s="486">
        <f t="shared" si="9"/>
        <v>10.227329792863893</v>
      </c>
      <c r="AA92" s="487">
        <f>C92*'4C2 Open-burning '!$C$10*'4C2 Open-burning '!$C$11*$C$5*C$15</f>
        <v>2.7404383104936245E-2</v>
      </c>
      <c r="AB92" s="487">
        <f>D92*'4C2 Open-burning '!$C$10*'4C2 Open-burning '!$C$11*$C$5*D$15</f>
        <v>2.8621280968161019E-2</v>
      </c>
      <c r="AC92" s="487">
        <f>E92*'4C2 Open-burning '!$C$10*'4C2 Open-burning '!$C$11*$C$5*E$15</f>
        <v>1.7589016592811681E-2</v>
      </c>
      <c r="AD92" s="487">
        <f>F92*'4C2 Open-burning '!$C$10*'4C2 Open-burning '!$C$11*$C$5*F$15</f>
        <v>0</v>
      </c>
      <c r="AE92" s="487">
        <f>G92*'4C2 Open-burning '!$C$10*'4C2 Open-burning '!$C$11*$C$5*G$15</f>
        <v>0</v>
      </c>
      <c r="AF92" s="487">
        <f>H92*'4C2 Open-burning '!$C$10*'4C2 Open-burning '!$C$11*$C$5*H$15</f>
        <v>0</v>
      </c>
      <c r="AG92" s="487">
        <f>I92*'4C2 Open-burning '!$C$10*'4C2 Open-burning '!$C$11*$C$5*I$15</f>
        <v>6.8767011863738792E-2</v>
      </c>
      <c r="AH92" s="488">
        <f t="shared" si="10"/>
        <v>0.14238169252964775</v>
      </c>
      <c r="AI92" s="1386"/>
      <c r="AJ92" s="1386"/>
      <c r="AK92" s="1386"/>
    </row>
    <row r="93" spans="1:45">
      <c r="A93" s="489">
        <f>'Input data'!A122</f>
        <v>2022</v>
      </c>
      <c r="B93" s="122">
        <f>'Recycling - Case 1'!AP102</f>
        <v>0.11075732555016322</v>
      </c>
      <c r="C93" s="527">
        <f>$B93*'Recycling - Case 1'!BM102*'Recycling - Case 1'!$AK102</f>
        <v>741.69767369725253</v>
      </c>
      <c r="D93" s="528">
        <f>$B93*'Recycling - Case 1'!BN102*'Recycling - Case 1'!$AK102</f>
        <v>774.63292755153088</v>
      </c>
      <c r="E93" s="528">
        <f>$B93*'Recycling - Case 1'!BO102*'Recycling - Case 1'!$AK102</f>
        <v>211.5757685680567</v>
      </c>
      <c r="F93" s="528">
        <f>$B93*'Recycling - Case 1'!BP102*'Recycling - Case 1'!$AK102</f>
        <v>0</v>
      </c>
      <c r="G93" s="528">
        <f>$B93*'Recycling - Case 1'!BQ102*'Recycling - Case 1'!$AK102</f>
        <v>0</v>
      </c>
      <c r="H93" s="528">
        <f>$B93*'Recycling - Case 1'!BR102*'Recycling - Case 1'!$AK102</f>
        <v>0</v>
      </c>
      <c r="I93" s="528">
        <f>$B93*'Recycling - Case 1'!BS102*'Recycling - Case 1'!$AK102</f>
        <v>827.18856454688341</v>
      </c>
      <c r="J93" s="744">
        <f t="shared" si="11"/>
        <v>2555.0949343637235</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1.1176786180683591</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28.498300425769223</v>
      </c>
      <c r="R93" s="1378">
        <f t="shared" si="8"/>
        <v>29.615979043837584</v>
      </c>
      <c r="S93" s="485">
        <f>C93*'4C2 Open-burning '!$C$9*'4C2 Open-burning '!$C$11*$C$5</f>
        <v>2.8926209274192849</v>
      </c>
      <c r="T93" s="485">
        <f>D93*'4C2 Open-burning '!$C$9*'4C2 Open-burning '!$C$11*$C$5</f>
        <v>3.0210684174509703</v>
      </c>
      <c r="U93" s="485">
        <f>E93*'4C2 Open-burning '!$C$9*'4C2 Open-burning '!$C$11*$C$5</f>
        <v>0.82514549741542109</v>
      </c>
      <c r="V93" s="485">
        <f>F93*'4C2 Open-burning '!$C$9*'4C2 Open-burning '!$C$11*$C$5</f>
        <v>0</v>
      </c>
      <c r="W93" s="485">
        <f>G93*'4C2 Open-burning '!$C$9*'4C2 Open-burning '!$C$11*$C$5</f>
        <v>0</v>
      </c>
      <c r="X93" s="485">
        <f>H93*'4C2 Open-burning '!$C$9*'4C2 Open-burning '!$C$11*$C$5</f>
        <v>0</v>
      </c>
      <c r="Y93" s="485">
        <f>I93*'4C2 Open-burning '!$C$9*'4C2 Open-burning '!$C$11*$C$5</f>
        <v>3.2260354017328452</v>
      </c>
      <c r="Z93" s="486">
        <f t="shared" si="9"/>
        <v>9.9648702440185204</v>
      </c>
      <c r="AA93" s="487">
        <f>C93*'4C2 Open-burning '!$C$10*'4C2 Open-burning '!$C$11*$C$5*C$15</f>
        <v>2.6701116253101093E-2</v>
      </c>
      <c r="AB93" s="487">
        <f>D93*'4C2 Open-burning '!$C$10*'4C2 Open-burning '!$C$11*$C$5*D$15</f>
        <v>2.7886785391855115E-2</v>
      </c>
      <c r="AC93" s="487">
        <f>E93*'4C2 Open-burning '!$C$10*'4C2 Open-burning '!$C$11*$C$5*E$15</f>
        <v>1.7137637254012593E-2</v>
      </c>
      <c r="AD93" s="487">
        <f>F93*'4C2 Open-burning '!$C$10*'4C2 Open-burning '!$C$11*$C$5*F$15</f>
        <v>0</v>
      </c>
      <c r="AE93" s="487">
        <f>G93*'4C2 Open-burning '!$C$10*'4C2 Open-burning '!$C$11*$C$5*G$15</f>
        <v>0</v>
      </c>
      <c r="AF93" s="487">
        <f>H93*'4C2 Open-burning '!$C$10*'4C2 Open-burning '!$C$11*$C$5*H$15</f>
        <v>0</v>
      </c>
      <c r="AG93" s="487">
        <f>I93*'4C2 Open-burning '!$C$10*'4C2 Open-burning '!$C$11*$C$5*I$15</f>
        <v>6.7002273728297548E-2</v>
      </c>
      <c r="AH93" s="488">
        <f t="shared" si="10"/>
        <v>0.13872781262726636</v>
      </c>
      <c r="AI93" s="1386"/>
      <c r="AJ93" s="1386"/>
      <c r="AK93" s="1386"/>
    </row>
    <row r="94" spans="1:45">
      <c r="A94" s="489">
        <f>'Input data'!A123</f>
        <v>2023</v>
      </c>
      <c r="B94" s="122">
        <f>'Recycling - Case 1'!AP103</f>
        <v>0.10850907008688693</v>
      </c>
      <c r="C94" s="527">
        <f>$B94*'Recycling - Case 1'!BM103*'Recycling - Case 1'!$AK103</f>
        <v>722.73860507762129</v>
      </c>
      <c r="D94" s="528">
        <f>$B94*'Recycling - Case 1'!BN103*'Recycling - Case 1'!$AK103</f>
        <v>754.83197717876499</v>
      </c>
      <c r="E94" s="528">
        <f>$B94*'Recycling - Case 1'!BO103*'Recycling - Case 1'!$AK103</f>
        <v>206.16752791046187</v>
      </c>
      <c r="F94" s="528">
        <f>$B94*'Recycling - Case 1'!BP103*'Recycling - Case 1'!$AK103</f>
        <v>0</v>
      </c>
      <c r="G94" s="528">
        <f>$B94*'Recycling - Case 1'!BQ103*'Recycling - Case 1'!$AK103</f>
        <v>0</v>
      </c>
      <c r="H94" s="528">
        <f>$B94*'Recycling - Case 1'!BR103*'Recycling - Case 1'!$AK103</f>
        <v>0</v>
      </c>
      <c r="I94" s="528">
        <f>$B94*'Recycling - Case 1'!BS103*'Recycling - Case 1'!$AK103</f>
        <v>806.0442016713165</v>
      </c>
      <c r="J94" s="744">
        <f t="shared" si="11"/>
        <v>2489.7823118381648</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1.0891088296409224</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27.769834835980195</v>
      </c>
      <c r="R94" s="1378">
        <f t="shared" si="8"/>
        <v>28.858943665621116</v>
      </c>
      <c r="S94" s="485">
        <f>C94*'4C2 Open-burning '!$C$9*'4C2 Open-burning '!$C$11*$C$5</f>
        <v>2.8186805598027229</v>
      </c>
      <c r="T94" s="485">
        <f>D94*'4C2 Open-burning '!$C$9*'4C2 Open-burning '!$C$11*$C$5</f>
        <v>2.9438447109971837</v>
      </c>
      <c r="U94" s="485">
        <f>E94*'4C2 Open-burning '!$C$9*'4C2 Open-burning '!$C$11*$C$5</f>
        <v>0.8040533588508012</v>
      </c>
      <c r="V94" s="485">
        <f>F94*'4C2 Open-burning '!$C$9*'4C2 Open-burning '!$C$11*$C$5</f>
        <v>0</v>
      </c>
      <c r="W94" s="485">
        <f>G94*'4C2 Open-burning '!$C$9*'4C2 Open-burning '!$C$11*$C$5</f>
        <v>0</v>
      </c>
      <c r="X94" s="485">
        <f>H94*'4C2 Open-burning '!$C$9*'4C2 Open-burning '!$C$11*$C$5</f>
        <v>0</v>
      </c>
      <c r="Y94" s="485">
        <f>I94*'4C2 Open-burning '!$C$9*'4C2 Open-burning '!$C$11*$C$5</f>
        <v>3.1435723865181342</v>
      </c>
      <c r="Z94" s="486">
        <f t="shared" si="9"/>
        <v>9.710151016168842</v>
      </c>
      <c r="AA94" s="487">
        <f>C94*'4C2 Open-burning '!$C$10*'4C2 Open-burning '!$C$11*$C$5*C$15</f>
        <v>2.6018589782794366E-2</v>
      </c>
      <c r="AB94" s="487">
        <f>D94*'4C2 Open-burning '!$C$10*'4C2 Open-burning '!$C$11*$C$5*D$15</f>
        <v>2.7173951178435542E-2</v>
      </c>
      <c r="AC94" s="487">
        <f>E94*'4C2 Open-burning '!$C$10*'4C2 Open-burning '!$C$11*$C$5*E$15</f>
        <v>1.6699569760747414E-2</v>
      </c>
      <c r="AD94" s="487">
        <f>F94*'4C2 Open-burning '!$C$10*'4C2 Open-burning '!$C$11*$C$5*F$15</f>
        <v>0</v>
      </c>
      <c r="AE94" s="487">
        <f>G94*'4C2 Open-burning '!$C$10*'4C2 Open-burning '!$C$11*$C$5*G$15</f>
        <v>0</v>
      </c>
      <c r="AF94" s="487">
        <f>H94*'4C2 Open-burning '!$C$10*'4C2 Open-burning '!$C$11*$C$5*H$15</f>
        <v>0</v>
      </c>
      <c r="AG94" s="487">
        <f>I94*'4C2 Open-burning '!$C$10*'4C2 Open-burning '!$C$11*$C$5*I$15</f>
        <v>6.5289580335376629E-2</v>
      </c>
      <c r="AH94" s="488">
        <f t="shared" si="10"/>
        <v>0.13518169105735395</v>
      </c>
      <c r="AI94" s="1386"/>
      <c r="AJ94" s="1386"/>
      <c r="AK94" s="1386"/>
    </row>
    <row r="95" spans="1:45">
      <c r="A95" s="489">
        <f>'Input data'!A124</f>
        <v>2024</v>
      </c>
      <c r="B95" s="122">
        <f>'Recycling - Case 1'!AP104</f>
        <v>0.1062000898099229</v>
      </c>
      <c r="C95" s="527">
        <f>$B95*'Recycling - Case 1'!BM104*'Recycling - Case 1'!$AK104</f>
        <v>704.33643697509649</v>
      </c>
      <c r="D95" s="528">
        <f>$B95*'Recycling - Case 1'!BN104*'Recycling - Case 1'!$AK104</f>
        <v>735.61265661720017</v>
      </c>
      <c r="E95" s="528">
        <f>$B95*'Recycling - Case 1'!BO104*'Recycling - Case 1'!$AK104</f>
        <v>200.91814801123419</v>
      </c>
      <c r="F95" s="528">
        <f>$B95*'Recycling - Case 1'!BP104*'Recycling - Case 1'!$AK104</f>
        <v>0</v>
      </c>
      <c r="G95" s="528">
        <f>$B95*'Recycling - Case 1'!BQ104*'Recycling - Case 1'!$AK104</f>
        <v>0</v>
      </c>
      <c r="H95" s="528">
        <f>$B95*'Recycling - Case 1'!BR104*'Recycling - Case 1'!$AK104</f>
        <v>0</v>
      </c>
      <c r="I95" s="528">
        <f>$B95*'Recycling - Case 1'!BS104*'Recycling - Case 1'!$AK104</f>
        <v>785.52092978157418</v>
      </c>
      <c r="J95" s="744">
        <f t="shared" si="11"/>
        <v>2426.3881713851051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1.0613782454100662</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27.062767072834792</v>
      </c>
      <c r="R95" s="1378">
        <f t="shared" si="8"/>
        <v>28.124145318244857</v>
      </c>
      <c r="S95" s="485">
        <f>C95*'4C2 Open-burning '!$C$9*'4C2 Open-burning '!$C$11*$C$5</f>
        <v>2.7469121042028761</v>
      </c>
      <c r="T95" s="485">
        <f>D95*'4C2 Open-burning '!$C$9*'4C2 Open-burning '!$C$11*$C$5</f>
        <v>2.8688893608070805</v>
      </c>
      <c r="U95" s="485">
        <f>E95*'4C2 Open-burning '!$C$9*'4C2 Open-burning '!$C$11*$C$5</f>
        <v>0.78358077724381336</v>
      </c>
      <c r="V95" s="485">
        <f>F95*'4C2 Open-burning '!$C$9*'4C2 Open-burning '!$C$11*$C$5</f>
        <v>0</v>
      </c>
      <c r="W95" s="485">
        <f>G95*'4C2 Open-burning '!$C$9*'4C2 Open-burning '!$C$11*$C$5</f>
        <v>0</v>
      </c>
      <c r="X95" s="485">
        <f>H95*'4C2 Open-burning '!$C$9*'4C2 Open-burning '!$C$11*$C$5</f>
        <v>0</v>
      </c>
      <c r="Y95" s="485">
        <f>I95*'4C2 Open-burning '!$C$9*'4C2 Open-burning '!$C$11*$C$5</f>
        <v>3.0635316261481389</v>
      </c>
      <c r="Z95" s="486">
        <f t="shared" si="9"/>
        <v>9.462913868401909</v>
      </c>
      <c r="AA95" s="487">
        <f>C95*'4C2 Open-burning '!$C$10*'4C2 Open-burning '!$C$11*$C$5*C$15</f>
        <v>2.535611173110347E-2</v>
      </c>
      <c r="AB95" s="487">
        <f>D95*'4C2 Open-burning '!$C$10*'4C2 Open-burning '!$C$11*$C$5*D$15</f>
        <v>2.6482055638219204E-2</v>
      </c>
      <c r="AC95" s="487">
        <f>E95*'4C2 Open-burning '!$C$10*'4C2 Open-burning '!$C$11*$C$5*E$15</f>
        <v>1.6274369988909968E-2</v>
      </c>
      <c r="AD95" s="487">
        <f>F95*'4C2 Open-burning '!$C$10*'4C2 Open-burning '!$C$11*$C$5*F$15</f>
        <v>0</v>
      </c>
      <c r="AE95" s="487">
        <f>G95*'4C2 Open-burning '!$C$10*'4C2 Open-burning '!$C$11*$C$5*G$15</f>
        <v>0</v>
      </c>
      <c r="AF95" s="487">
        <f>H95*'4C2 Open-burning '!$C$10*'4C2 Open-burning '!$C$11*$C$5*H$15</f>
        <v>0</v>
      </c>
      <c r="AG95" s="487">
        <f>I95*'4C2 Open-burning '!$C$10*'4C2 Open-burning '!$C$11*$C$5*I$15</f>
        <v>6.3627195312307497E-2</v>
      </c>
      <c r="AH95" s="488">
        <f t="shared" si="10"/>
        <v>0.13173973267054012</v>
      </c>
      <c r="AI95" s="1386"/>
      <c r="AJ95" s="1386"/>
      <c r="AK95" s="1386"/>
    </row>
    <row r="96" spans="1:45">
      <c r="A96" s="489">
        <f>'Input data'!A125</f>
        <v>2025</v>
      </c>
      <c r="B96" s="122">
        <f>'Recycling - Case 1'!AP105</f>
        <v>0.1038403439063386</v>
      </c>
      <c r="C96" s="527">
        <f>$B96*'Recycling - Case 1'!BM105*'Recycling - Case 1'!$AK105</f>
        <v>686.47255925083232</v>
      </c>
      <c r="D96" s="528">
        <f>$B96*'Recycling - Case 1'!BN105*'Recycling - Case 1'!$AK105</f>
        <v>716.95552934054422</v>
      </c>
      <c r="E96" s="528">
        <f>$B96*'Recycling - Case 1'!BO105*'Recycling - Case 1'!$AK105</f>
        <v>195.82232016499543</v>
      </c>
      <c r="F96" s="528">
        <f>$B96*'Recycling - Case 1'!BP105*'Recycling - Case 1'!$AK105</f>
        <v>0</v>
      </c>
      <c r="G96" s="528">
        <f>$B96*'Recycling - Case 1'!BQ105*'Recycling - Case 1'!$AK105</f>
        <v>0</v>
      </c>
      <c r="H96" s="528">
        <f>$B96*'Recycling - Case 1'!BR105*'Recycling - Case 1'!$AK105</f>
        <v>0</v>
      </c>
      <c r="I96" s="528">
        <f>$B96*'Recycling - Case 1'!BS105*'Recycling - Case 1'!$AK105</f>
        <v>765.59799366352627</v>
      </c>
      <c r="J96" s="744">
        <f t="shared" si="11"/>
        <v>2364.8484024198983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1.0344588213964114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26.376382077695805</v>
      </c>
      <c r="R96" s="1378">
        <f t="shared" si="8"/>
        <v>27.410840899092218</v>
      </c>
      <c r="S96" s="485">
        <f>C96*'4C2 Open-burning '!$C$9*'4C2 Open-burning '!$C$11*$C$5</f>
        <v>2.6772429810782454</v>
      </c>
      <c r="T96" s="485">
        <f>D96*'4C2 Open-burning '!$C$9*'4C2 Open-burning '!$C$11*$C$5</f>
        <v>2.7961265644281226</v>
      </c>
      <c r="U96" s="485">
        <f>E96*'4C2 Open-burning '!$C$9*'4C2 Open-burning '!$C$11*$C$5</f>
        <v>0.76370704864348216</v>
      </c>
      <c r="V96" s="485">
        <f>F96*'4C2 Open-burning '!$C$9*'4C2 Open-burning '!$C$11*$C$5</f>
        <v>0</v>
      </c>
      <c r="W96" s="485">
        <f>G96*'4C2 Open-burning '!$C$9*'4C2 Open-burning '!$C$11*$C$5</f>
        <v>0</v>
      </c>
      <c r="X96" s="485">
        <f>H96*'4C2 Open-burning '!$C$9*'4C2 Open-burning '!$C$11*$C$5</f>
        <v>0</v>
      </c>
      <c r="Y96" s="485">
        <f>I96*'4C2 Open-burning '!$C$9*'4C2 Open-burning '!$C$11*$C$5</f>
        <v>2.9858321752877521</v>
      </c>
      <c r="Z96" s="486">
        <f t="shared" si="9"/>
        <v>9.222908769437602</v>
      </c>
      <c r="AA96" s="487">
        <f>C96*'4C2 Open-burning '!$C$10*'4C2 Open-burning '!$C$11*$C$5*C$15</f>
        <v>2.4713012133029965E-2</v>
      </c>
      <c r="AB96" s="487">
        <f>D96*'4C2 Open-burning '!$C$10*'4C2 Open-burning '!$C$11*$C$5*D$15</f>
        <v>2.5810399056259592E-2</v>
      </c>
      <c r="AC96" s="487">
        <f>E96*'4C2 Open-burning '!$C$10*'4C2 Open-burning '!$C$11*$C$5*E$15</f>
        <v>1.5861607933364628E-2</v>
      </c>
      <c r="AD96" s="487">
        <f>F96*'4C2 Open-burning '!$C$10*'4C2 Open-burning '!$C$11*$C$5*F$15</f>
        <v>0</v>
      </c>
      <c r="AE96" s="487">
        <f>G96*'4C2 Open-burning '!$C$10*'4C2 Open-burning '!$C$11*$C$5*G$15</f>
        <v>0</v>
      </c>
      <c r="AF96" s="487">
        <f>H96*'4C2 Open-burning '!$C$10*'4C2 Open-burning '!$C$11*$C$5*H$15</f>
        <v>0</v>
      </c>
      <c r="AG96" s="487">
        <f>I96*'4C2 Open-burning '!$C$10*'4C2 Open-burning '!$C$11*$C$5*I$15</f>
        <v>6.2013437486745614E-2</v>
      </c>
      <c r="AH96" s="488">
        <f t="shared" si="10"/>
        <v>0.1283984566093998</v>
      </c>
      <c r="AI96" s="1386"/>
      <c r="AJ96" s="1386"/>
      <c r="AK96" s="1386"/>
    </row>
    <row r="97" spans="1:37">
      <c r="A97" s="489">
        <f>'Input data'!A126</f>
        <v>2026</v>
      </c>
      <c r="B97" s="122">
        <f>'Recycling - Case 1'!AP106</f>
        <v>0.10153596139868032</v>
      </c>
      <c r="C97" s="527">
        <f>$B97*'Recycling - Case 1'!BM106*'Recycling - Case 1'!$AK106</f>
        <v>669.43710410979213</v>
      </c>
      <c r="D97" s="528">
        <f>$B97*'Recycling - Case 1'!BN106*'Recycling - Case 1'!$AK106</f>
        <v>699.16361094029435</v>
      </c>
      <c r="E97" s="528">
        <f>$B97*'Recycling - Case 1'!BO106*'Recycling - Case 1'!$AK106</f>
        <v>190.96280712863199</v>
      </c>
      <c r="F97" s="528">
        <f>$B97*'Recycling - Case 1'!BP106*'Recycling - Case 1'!$AK106</f>
        <v>0</v>
      </c>
      <c r="G97" s="528">
        <f>$B97*'Recycling - Case 1'!BQ106*'Recycling - Case 1'!$AK106</f>
        <v>0</v>
      </c>
      <c r="H97" s="528">
        <f>$B97*'Recycling - Case 1'!BR106*'Recycling - Case 1'!$AK106</f>
        <v>0</v>
      </c>
      <c r="I97" s="528">
        <f>$B97*'Recycling - Case 1'!BS106*'Recycling - Case 1'!$AK106</f>
        <v>746.59896726200668</v>
      </c>
      <c r="J97" s="744">
        <f t="shared" si="11"/>
        <v>2306.162489440725</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1.0087877634499964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25.721827620110652</v>
      </c>
      <c r="R97" s="1378">
        <f t="shared" si="8"/>
        <v>26.730615383560647</v>
      </c>
      <c r="S97" s="485">
        <f>C97*'4C2 Open-burning '!$C$9*'4C2 Open-burning '!$C$11*$C$5</f>
        <v>2.6108047060281891</v>
      </c>
      <c r="T97" s="485">
        <f>D97*'4C2 Open-burning '!$C$9*'4C2 Open-burning '!$C$11*$C$5</f>
        <v>2.7267380826671479</v>
      </c>
      <c r="U97" s="485">
        <f>E97*'4C2 Open-burning '!$C$9*'4C2 Open-burning '!$C$11*$C$5</f>
        <v>0.74475494780166474</v>
      </c>
      <c r="V97" s="485">
        <f>F97*'4C2 Open-burning '!$C$9*'4C2 Open-burning '!$C$11*$C$5</f>
        <v>0</v>
      </c>
      <c r="W97" s="485">
        <f>G97*'4C2 Open-burning '!$C$9*'4C2 Open-burning '!$C$11*$C$5</f>
        <v>0</v>
      </c>
      <c r="X97" s="485">
        <f>H97*'4C2 Open-burning '!$C$9*'4C2 Open-burning '!$C$11*$C$5</f>
        <v>0</v>
      </c>
      <c r="Y97" s="485">
        <f>I97*'4C2 Open-burning '!$C$9*'4C2 Open-burning '!$C$11*$C$5</f>
        <v>2.9117359723218259</v>
      </c>
      <c r="Z97" s="486">
        <f t="shared" si="9"/>
        <v>8.9940337088188294</v>
      </c>
      <c r="AA97" s="487">
        <f>C97*'4C2 Open-burning '!$C$10*'4C2 Open-burning '!$C$11*$C$5*C$15</f>
        <v>2.4099735747952516E-2</v>
      </c>
      <c r="AB97" s="487">
        <f>D97*'4C2 Open-burning '!$C$10*'4C2 Open-burning '!$C$11*$C$5*D$15</f>
        <v>2.51698899938506E-2</v>
      </c>
      <c r="AC97" s="487">
        <f>E97*'4C2 Open-burning '!$C$10*'4C2 Open-burning '!$C$11*$C$5*E$15</f>
        <v>1.546798737741919E-2</v>
      </c>
      <c r="AD97" s="487">
        <f>F97*'4C2 Open-burning '!$C$10*'4C2 Open-burning '!$C$11*$C$5*F$15</f>
        <v>0</v>
      </c>
      <c r="AE97" s="487">
        <f>G97*'4C2 Open-burning '!$C$10*'4C2 Open-burning '!$C$11*$C$5*G$15</f>
        <v>0</v>
      </c>
      <c r="AF97" s="487">
        <f>H97*'4C2 Open-burning '!$C$10*'4C2 Open-burning '!$C$11*$C$5*H$15</f>
        <v>0</v>
      </c>
      <c r="AG97" s="487">
        <f>I97*'4C2 Open-burning '!$C$10*'4C2 Open-burning '!$C$11*$C$5*I$15</f>
        <v>6.047451634822254E-2</v>
      </c>
      <c r="AH97" s="488">
        <f t="shared" si="10"/>
        <v>0.12521212946744487</v>
      </c>
      <c r="AI97" s="1386"/>
      <c r="AJ97" s="1386"/>
      <c r="AK97" s="1386"/>
    </row>
    <row r="98" spans="1:37">
      <c r="A98" s="489">
        <f>'Input data'!A127</f>
        <v>2027</v>
      </c>
      <c r="B98" s="122">
        <f>'Recycling - Case 1'!AP107</f>
        <v>9.9207694227677709E-2</v>
      </c>
      <c r="C98" s="527">
        <f>$B98*'Recycling - Case 1'!BM107*'Recycling - Case 1'!$AK107</f>
        <v>652.96768594288483</v>
      </c>
      <c r="D98" s="528">
        <f>$B98*'Recycling - Case 1'!BN107*'Recycling - Case 1'!$AK107</f>
        <v>681.96286451472417</v>
      </c>
      <c r="E98" s="528">
        <f>$B98*'Recycling - Case 1'!BO107*'Recycling - Case 1'!$AK107</f>
        <v>186.26476110515958</v>
      </c>
      <c r="F98" s="528">
        <f>$B98*'Recycling - Case 1'!BP107*'Recycling - Case 1'!$AK107</f>
        <v>0</v>
      </c>
      <c r="G98" s="528">
        <f>$B98*'Recycling - Case 1'!BQ107*'Recycling - Case 1'!$AK107</f>
        <v>0</v>
      </c>
      <c r="H98" s="528">
        <f>$B98*'Recycling - Case 1'!BR107*'Recycling - Case 1'!$AK107</f>
        <v>0</v>
      </c>
      <c r="I98" s="528">
        <f>$B98*'Recycling - Case 1'!BS107*'Recycling - Case 1'!$AK107</f>
        <v>728.23122140607552</v>
      </c>
      <c r="J98" s="744">
        <f t="shared" si="11"/>
        <v>2249.4265329688442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0.98396967760456022</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25.08902203988211</v>
      </c>
      <c r="R98" s="1378">
        <f t="shared" si="8"/>
        <v>26.072991717486669</v>
      </c>
      <c r="S98" s="485">
        <f>C98*'4C2 Open-burning '!$C$9*'4C2 Open-burning '!$C$11*$C$5</f>
        <v>2.5465739751772505</v>
      </c>
      <c r="T98" s="485">
        <f>D98*'4C2 Open-burning '!$C$9*'4C2 Open-burning '!$C$11*$C$5</f>
        <v>2.6596551716074242</v>
      </c>
      <c r="U98" s="485">
        <f>E98*'4C2 Open-burning '!$C$9*'4C2 Open-burning '!$C$11*$C$5</f>
        <v>0.72643256831012226</v>
      </c>
      <c r="V98" s="485">
        <f>F98*'4C2 Open-burning '!$C$9*'4C2 Open-burning '!$C$11*$C$5</f>
        <v>0</v>
      </c>
      <c r="W98" s="485">
        <f>G98*'4C2 Open-burning '!$C$9*'4C2 Open-burning '!$C$11*$C$5</f>
        <v>0</v>
      </c>
      <c r="X98" s="485">
        <f>H98*'4C2 Open-burning '!$C$9*'4C2 Open-burning '!$C$11*$C$5</f>
        <v>0</v>
      </c>
      <c r="Y98" s="485">
        <f>I98*'4C2 Open-burning '!$C$9*'4C2 Open-burning '!$C$11*$C$5</f>
        <v>2.8401017634836947</v>
      </c>
      <c r="Z98" s="486">
        <f t="shared" si="9"/>
        <v>8.7727634785784918</v>
      </c>
      <c r="AA98" s="487">
        <f>C98*'4C2 Open-burning '!$C$10*'4C2 Open-burning '!$C$11*$C$5*C$15</f>
        <v>2.350683669394385E-2</v>
      </c>
      <c r="AB98" s="487">
        <f>D98*'4C2 Open-burning '!$C$10*'4C2 Open-burning '!$C$11*$C$5*D$15</f>
        <v>2.455066312253007E-2</v>
      </c>
      <c r="AC98" s="487">
        <f>E98*'4C2 Open-burning '!$C$10*'4C2 Open-burning '!$C$11*$C$5*E$15</f>
        <v>1.5087445649517925E-2</v>
      </c>
      <c r="AD98" s="487">
        <f>F98*'4C2 Open-burning '!$C$10*'4C2 Open-burning '!$C$11*$C$5*F$15</f>
        <v>0</v>
      </c>
      <c r="AE98" s="487">
        <f>G98*'4C2 Open-burning '!$C$10*'4C2 Open-burning '!$C$11*$C$5*G$15</f>
        <v>0</v>
      </c>
      <c r="AF98" s="487">
        <f>H98*'4C2 Open-burning '!$C$10*'4C2 Open-burning '!$C$11*$C$5*H$15</f>
        <v>0</v>
      </c>
      <c r="AG98" s="487">
        <f>I98*'4C2 Open-burning '!$C$10*'4C2 Open-burning '!$C$11*$C$5*I$15</f>
        <v>5.8986728933892112E-2</v>
      </c>
      <c r="AH98" s="488">
        <f t="shared" si="10"/>
        <v>0.12213167439988395</v>
      </c>
      <c r="AI98" s="1387"/>
      <c r="AJ98" s="1386"/>
      <c r="AK98" s="1387"/>
    </row>
    <row r="99" spans="1:37">
      <c r="A99" s="489">
        <f>'Input data'!A128</f>
        <v>2028</v>
      </c>
      <c r="B99" s="122">
        <f>'Recycling - Case 1'!AP108</f>
        <v>9.5406461154401684E-2</v>
      </c>
      <c r="C99" s="527">
        <f>$B99*'Recycling - Case 1'!BM108*'Recycling - Case 1'!$AK108</f>
        <v>617.16128725356532</v>
      </c>
      <c r="D99" s="528">
        <f>$B99*'Recycling - Case 1'!BN108*'Recycling - Case 1'!$AK108</f>
        <v>644.56647454963093</v>
      </c>
      <c r="E99" s="528">
        <f>$B99*'Recycling - Case 1'!BO108*'Recycling - Case 1'!$AK108</f>
        <v>176.05067173828456</v>
      </c>
      <c r="F99" s="528">
        <f>$B99*'Recycling - Case 1'!BP108*'Recycling - Case 1'!$AK108</f>
        <v>0</v>
      </c>
      <c r="G99" s="528">
        <f>$B99*'Recycling - Case 1'!BQ108*'Recycling - Case 1'!$AK108</f>
        <v>0</v>
      </c>
      <c r="H99" s="528">
        <f>$B99*'Recycling - Case 1'!BR108*'Recycling - Case 1'!$AK108</f>
        <v>0</v>
      </c>
      <c r="I99" s="528">
        <f>$B99*'Recycling - Case 1'!BS108*'Recycling - Case 1'!$AK108</f>
        <v>688.29764121056667</v>
      </c>
      <c r="J99" s="744">
        <f t="shared" si="11"/>
        <v>2126.0760747520476</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0.9300123205515316</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23.713230334986442</v>
      </c>
      <c r="R99" s="1378">
        <f t="shared" si="8"/>
        <v>24.643242655537975</v>
      </c>
      <c r="S99" s="485">
        <f>C99*'4C2 Open-burning '!$C$9*'4C2 Open-burning '!$C$11*$C$5</f>
        <v>2.4069290202889047</v>
      </c>
      <c r="T99" s="485">
        <f>D99*'4C2 Open-burning '!$C$9*'4C2 Open-burning '!$C$11*$C$5</f>
        <v>2.5138092507435603</v>
      </c>
      <c r="U99" s="485">
        <f>E99*'4C2 Open-burning '!$C$9*'4C2 Open-burning '!$C$11*$C$5</f>
        <v>0.68659761977930978</v>
      </c>
      <c r="V99" s="485">
        <f>F99*'4C2 Open-burning '!$C$9*'4C2 Open-burning '!$C$11*$C$5</f>
        <v>0</v>
      </c>
      <c r="W99" s="485">
        <f>G99*'4C2 Open-burning '!$C$9*'4C2 Open-burning '!$C$11*$C$5</f>
        <v>0</v>
      </c>
      <c r="X99" s="485">
        <f>H99*'4C2 Open-burning '!$C$9*'4C2 Open-burning '!$C$11*$C$5</f>
        <v>0</v>
      </c>
      <c r="Y99" s="485">
        <f>I99*'4C2 Open-burning '!$C$9*'4C2 Open-burning '!$C$11*$C$5</f>
        <v>2.6843608007212096</v>
      </c>
      <c r="Z99" s="486">
        <f t="shared" si="9"/>
        <v>8.2916966915329837</v>
      </c>
      <c r="AA99" s="487">
        <f>C99*'4C2 Open-burning '!$C$10*'4C2 Open-burning '!$C$11*$C$5*C$15</f>
        <v>2.2217806341128351E-2</v>
      </c>
      <c r="AB99" s="487">
        <f>D99*'4C2 Open-burning '!$C$10*'4C2 Open-burning '!$C$11*$C$5*D$15</f>
        <v>2.3204393083786714E-2</v>
      </c>
      <c r="AC99" s="487">
        <f>E99*'4C2 Open-burning '!$C$10*'4C2 Open-burning '!$C$11*$C$5*E$15</f>
        <v>1.426010441080105E-2</v>
      </c>
      <c r="AD99" s="487">
        <f>F99*'4C2 Open-burning '!$C$10*'4C2 Open-burning '!$C$11*$C$5*F$15</f>
        <v>0</v>
      </c>
      <c r="AE99" s="487">
        <f>G99*'4C2 Open-burning '!$C$10*'4C2 Open-burning '!$C$11*$C$5*G$15</f>
        <v>0</v>
      </c>
      <c r="AF99" s="487">
        <f>H99*'4C2 Open-burning '!$C$10*'4C2 Open-burning '!$C$11*$C$5*H$15</f>
        <v>0</v>
      </c>
      <c r="AG99" s="487">
        <f>I99*'4C2 Open-burning '!$C$10*'4C2 Open-burning '!$C$11*$C$5*I$15</f>
        <v>5.5752108938055898E-2</v>
      </c>
      <c r="AH99" s="488">
        <f t="shared" si="10"/>
        <v>0.115434412773772</v>
      </c>
      <c r="AI99" s="1387"/>
      <c r="AJ99" s="1386"/>
      <c r="AK99" s="1387"/>
    </row>
    <row r="100" spans="1:37">
      <c r="A100" s="489">
        <f>'Input data'!A129</f>
        <v>2029</v>
      </c>
      <c r="B100" s="122">
        <f>'Recycling - Case 1'!AP109</f>
        <v>9.1677038898610591E-2</v>
      </c>
      <c r="C100" s="527">
        <f>$B100*'Recycling - Case 1'!BM109*'Recycling - Case 1'!$AK109</f>
        <v>583.34132095784526</v>
      </c>
      <c r="D100" s="528">
        <f>$B100*'Recycling - Case 1'!BN109*'Recycling - Case 1'!$AK109</f>
        <v>609.2447249602676</v>
      </c>
      <c r="E100" s="528">
        <f>$B100*'Recycling - Case 1'!BO109*'Recycling - Case 1'!$AK109</f>
        <v>166.40322963927716</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650.57945715084463</v>
      </c>
      <c r="J100" s="744">
        <f t="shared" si="11"/>
        <v>2009.5687327082346</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0.87904835702163109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22.413763457760897</v>
      </c>
      <c r="R100" s="1378">
        <f t="shared" si="8"/>
        <v>23.292811814782528</v>
      </c>
      <c r="S100" s="485">
        <f>C100*'4C2 Open-burning '!$C$9*'4C2 Open-burning '!$C$11*$C$5</f>
        <v>2.2750311517355963</v>
      </c>
      <c r="T100" s="485">
        <f>D100*'4C2 Open-burning '!$C$9*'4C2 Open-burning '!$C$11*$C$5</f>
        <v>2.3760544273450437</v>
      </c>
      <c r="U100" s="485">
        <f>E100*'4C2 Open-burning '!$C$9*'4C2 Open-burning '!$C$11*$C$5</f>
        <v>0.64897259559318077</v>
      </c>
      <c r="V100" s="485">
        <f>F100*'4C2 Open-burning '!$C$9*'4C2 Open-burning '!$C$11*$C$5</f>
        <v>0</v>
      </c>
      <c r="W100" s="485">
        <f>G100*'4C2 Open-burning '!$C$9*'4C2 Open-burning '!$C$11*$C$5</f>
        <v>0</v>
      </c>
      <c r="X100" s="485">
        <f>H100*'4C2 Open-burning '!$C$9*'4C2 Open-burning '!$C$11*$C$5</f>
        <v>0</v>
      </c>
      <c r="Y100" s="485">
        <f>I100*'4C2 Open-burning '!$C$9*'4C2 Open-burning '!$C$11*$C$5</f>
        <v>2.5372598828882937</v>
      </c>
      <c r="Z100" s="486">
        <f t="shared" si="9"/>
        <v>7.837318057562114</v>
      </c>
      <c r="AA100" s="487">
        <f>C100*'4C2 Open-burning '!$C$10*'4C2 Open-burning '!$C$11*$C$5*C$15</f>
        <v>2.1000287554482428E-2</v>
      </c>
      <c r="AB100" s="487">
        <f>D100*'4C2 Open-burning '!$C$10*'4C2 Open-burning '!$C$11*$C$5*D$15</f>
        <v>2.1932810098569632E-2</v>
      </c>
      <c r="AC100" s="487">
        <f>E100*'4C2 Open-burning '!$C$10*'4C2 Open-burning '!$C$11*$C$5*E$15</f>
        <v>1.3478661600781448E-2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5.2696936029218405E-2</v>
      </c>
      <c r="AH100" s="488">
        <f t="shared" si="10"/>
        <v>0.10910869528305192</v>
      </c>
      <c r="AI100" s="1387"/>
      <c r="AJ100" s="1386"/>
      <c r="AK100" s="1387"/>
    </row>
    <row r="101" spans="1:37">
      <c r="A101" s="489">
        <f>'Input data'!A130</f>
        <v>2030</v>
      </c>
      <c r="B101" s="122">
        <f>'Recycling - Case 1'!AP110</f>
        <v>8.802355604111399E-2</v>
      </c>
      <c r="C101" s="527">
        <f>$B101*'Recycling - Case 1'!BM110*'Recycling - Case 1'!$AK110</f>
        <v>551.39600357520544</v>
      </c>
      <c r="D101" s="528">
        <f>$B101*'Recycling - Case 1'!BN110*'Recycling - Case 1'!$AK110</f>
        <v>575.88086849524382</v>
      </c>
      <c r="E101" s="528">
        <f>$B101*'Recycling - Case 1'!BO110*'Recycling - Case 1'!$AK110</f>
        <v>157.29054758960771</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614.95200115786997</v>
      </c>
      <c r="J101" s="744">
        <f t="shared" si="11"/>
        <v>1899.5194208179271</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0.83090933831876523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21.186326343890933</v>
      </c>
      <c r="R101" s="1378">
        <f t="shared" si="8"/>
        <v>22.017235682209698</v>
      </c>
      <c r="S101" s="485">
        <f>C101*'4C2 Open-burning '!$C$9*'4C2 Open-burning '!$C$11*$C$5</f>
        <v>2.1504444139433008</v>
      </c>
      <c r="T101" s="485">
        <f>D101*'4C2 Open-burning '!$C$9*'4C2 Open-burning '!$C$11*$C$5</f>
        <v>2.2459353871314507</v>
      </c>
      <c r="U101" s="485">
        <f>E101*'4C2 Open-burning '!$C$9*'4C2 Open-burning '!$C$11*$C$5</f>
        <v>0.6134331355994701</v>
      </c>
      <c r="V101" s="485">
        <f>F101*'4C2 Open-burning '!$C$9*'4C2 Open-burning '!$C$11*$C$5</f>
        <v>0</v>
      </c>
      <c r="W101" s="485">
        <f>G101*'4C2 Open-burning '!$C$9*'4C2 Open-burning '!$C$11*$C$5</f>
        <v>0</v>
      </c>
      <c r="X101" s="485">
        <f>H101*'4C2 Open-burning '!$C$9*'4C2 Open-burning '!$C$11*$C$5</f>
        <v>0</v>
      </c>
      <c r="Y101" s="485">
        <f>I101*'4C2 Open-burning '!$C$9*'4C2 Open-burning '!$C$11*$C$5</f>
        <v>2.3983128045156925</v>
      </c>
      <c r="Z101" s="486">
        <f t="shared" si="9"/>
        <v>7.4081257411899131</v>
      </c>
      <c r="AA101" s="487">
        <f>C101*'4C2 Open-burning '!$C$10*'4C2 Open-burning '!$C$11*$C$5*C$15</f>
        <v>1.9850256128707392E-2</v>
      </c>
      <c r="AB101" s="487">
        <f>D101*'4C2 Open-burning '!$C$10*'4C2 Open-burning '!$C$11*$C$5*D$15</f>
        <v>2.0731711265828776E-2</v>
      </c>
      <c r="AC101" s="487">
        <f>E101*'4C2 Open-burning '!$C$10*'4C2 Open-burning '!$C$11*$C$5*E$15</f>
        <v>1.2740534354758224E-2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4.9811112093787469E-2</v>
      </c>
      <c r="AH101" s="488">
        <f t="shared" si="10"/>
        <v>0.10313361384308185</v>
      </c>
      <c r="AI101" s="1387"/>
      <c r="AJ101" s="1386"/>
      <c r="AK101" s="1387"/>
    </row>
    <row r="102" spans="1:37">
      <c r="A102" s="489">
        <f>'Input data'!A131</f>
        <v>2031</v>
      </c>
      <c r="B102" s="122">
        <f>'Recycling - Case 1'!AP111</f>
        <v>8.479165593890553E-2</v>
      </c>
      <c r="C102" s="527">
        <f>$B102*'Recycling - Case 1'!BM111*'Recycling - Case 1'!$AK111</f>
        <v>523.9406879501845</v>
      </c>
      <c r="D102" s="528">
        <f>$B102*'Recycling - Case 1'!BN111*'Recycling - Case 1'!$AK111</f>
        <v>547.20639333686222</v>
      </c>
      <c r="E102" s="528">
        <f>$B102*'Recycling - Case 1'!BO111*'Recycling - Case 1'!$AK111</f>
        <v>149.45867793349032</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584.33208157819399</v>
      </c>
      <c r="J102" s="744">
        <f t="shared" si="11"/>
        <v>1804.937840798731</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0.78953639039857326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20.131408874531939</v>
      </c>
      <c r="R102" s="1378">
        <f t="shared" si="8"/>
        <v>20.920945264930513</v>
      </c>
      <c r="S102" s="485">
        <f>C102*'4C2 Open-burning '!$C$9*'4C2 Open-burning '!$C$11*$C$5</f>
        <v>2.0433686830057192</v>
      </c>
      <c r="T102" s="485">
        <f>D102*'4C2 Open-burning '!$C$9*'4C2 Open-burning '!$C$11*$C$5</f>
        <v>2.1341049340137626</v>
      </c>
      <c r="U102" s="485">
        <f>E102*'4C2 Open-burning '!$C$9*'4C2 Open-burning '!$C$11*$C$5</f>
        <v>0.58288884394061213</v>
      </c>
      <c r="V102" s="485">
        <f>F102*'4C2 Open-burning '!$C$9*'4C2 Open-burning '!$C$11*$C$5</f>
        <v>0</v>
      </c>
      <c r="W102" s="485">
        <f>G102*'4C2 Open-burning '!$C$9*'4C2 Open-burning '!$C$11*$C$5</f>
        <v>0</v>
      </c>
      <c r="X102" s="485">
        <f>H102*'4C2 Open-burning '!$C$9*'4C2 Open-burning '!$C$11*$C$5</f>
        <v>0</v>
      </c>
      <c r="Y102" s="485">
        <f>I102*'4C2 Open-burning '!$C$9*'4C2 Open-burning '!$C$11*$C$5</f>
        <v>2.2788951181549564</v>
      </c>
      <c r="Z102" s="486">
        <f t="shared" si="9"/>
        <v>7.0392575791150502</v>
      </c>
      <c r="AA102" s="487">
        <f>C102*'4C2 Open-burning '!$C$10*'4C2 Open-burning '!$C$11*$C$5*C$15</f>
        <v>1.8861864766206642E-2</v>
      </c>
      <c r="AB102" s="487">
        <f>D102*'4C2 Open-burning '!$C$10*'4C2 Open-burning '!$C$11*$C$5*D$15</f>
        <v>1.9699430160127041E-2</v>
      </c>
      <c r="AC102" s="487">
        <f>E102*'4C2 Open-burning '!$C$10*'4C2 Open-burning '!$C$11*$C$5*E$15</f>
        <v>1.2106152912612715E-2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4.7330898607833703E-2</v>
      </c>
      <c r="AH102" s="488">
        <f t="shared" si="10"/>
        <v>9.7998346446780099E-2</v>
      </c>
      <c r="AI102" s="1387"/>
      <c r="AJ102" s="1386"/>
      <c r="AK102" s="1387"/>
    </row>
    <row r="103" spans="1:37">
      <c r="A103" s="489">
        <f>'Input data'!A132</f>
        <v>2032</v>
      </c>
      <c r="B103" s="122">
        <f>'Recycling - Case 1'!AP112</f>
        <v>8.1490216412465677E-2</v>
      </c>
      <c r="C103" s="527">
        <f>$B103*'Recycling - Case 1'!BM112*'Recycling - Case 1'!$AK112</f>
        <v>496.63678075011467</v>
      </c>
      <c r="D103" s="528">
        <f>$B103*'Recycling - Case 1'!BN112*'Recycling - Case 1'!$AK112</f>
        <v>518.69004992897044</v>
      </c>
      <c r="E103" s="528">
        <f>$B103*'Recycling - Case 1'!BO112*'Recycling - Case 1'!$AK112</f>
        <v>141.66999885894373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553.88102233358052</v>
      </c>
      <c r="J103" s="744">
        <f t="shared" si="11"/>
        <v>1710.8778518716094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0.74839160277221051</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19.082308981436515</v>
      </c>
      <c r="R103" s="1378">
        <f t="shared" si="8"/>
        <v>19.830700584208724</v>
      </c>
      <c r="S103" s="485">
        <f>C103*'4C2 Open-burning '!$C$9*'4C2 Open-burning '!$C$11*$C$5</f>
        <v>1.9368834449254471</v>
      </c>
      <c r="T103" s="485">
        <f>D103*'4C2 Open-burning '!$C$9*'4C2 Open-burning '!$C$11*$C$5</f>
        <v>2.0228911947229844</v>
      </c>
      <c r="U103" s="485">
        <f>E103*'4C2 Open-burning '!$C$9*'4C2 Open-burning '!$C$11*$C$5</f>
        <v>0.55251299554988054</v>
      </c>
      <c r="V103" s="485">
        <f>F103*'4C2 Open-burning '!$C$9*'4C2 Open-burning '!$C$11*$C$5</f>
        <v>0</v>
      </c>
      <c r="W103" s="485">
        <f>G103*'4C2 Open-burning '!$C$9*'4C2 Open-burning '!$C$11*$C$5</f>
        <v>0</v>
      </c>
      <c r="X103" s="485">
        <f>H103*'4C2 Open-burning '!$C$9*'4C2 Open-burning '!$C$11*$C$5</f>
        <v>0</v>
      </c>
      <c r="Y103" s="485">
        <f>I103*'4C2 Open-burning '!$C$9*'4C2 Open-burning '!$C$11*$C$5</f>
        <v>2.160135987100964</v>
      </c>
      <c r="Z103" s="486">
        <f t="shared" si="9"/>
        <v>6.6724236222992763</v>
      </c>
      <c r="AA103" s="487">
        <f>C103*'4C2 Open-burning '!$C$10*'4C2 Open-burning '!$C$11*$C$5*C$15</f>
        <v>1.7878924107004129E-2</v>
      </c>
      <c r="AB103" s="487">
        <f>D103*'4C2 Open-burning '!$C$10*'4C2 Open-burning '!$C$11*$C$5*D$15</f>
        <v>1.8672841797442934E-2</v>
      </c>
      <c r="AC103" s="487">
        <f>E103*'4C2 Open-burning '!$C$10*'4C2 Open-burning '!$C$11*$C$5*E$15</f>
        <v>1.1475269907574441E-2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4.4864362809020022E-2</v>
      </c>
      <c r="AH103" s="488">
        <f t="shared" si="10"/>
        <v>9.2891398621041524E-2</v>
      </c>
      <c r="AI103" s="1387"/>
      <c r="AJ103" s="1386"/>
      <c r="AK103" s="1387"/>
    </row>
    <row r="104" spans="1:37">
      <c r="A104" s="489">
        <f>'Input data'!A133</f>
        <v>2033</v>
      </c>
      <c r="B104" s="122">
        <f>'Recycling - Case 1'!AP113</f>
        <v>7.8116334158114337E-2</v>
      </c>
      <c r="C104" s="527">
        <f>$B104*'Recycling - Case 1'!BM113*'Recycling - Case 1'!$AK113</f>
        <v>469.48127443619666</v>
      </c>
      <c r="D104" s="528">
        <f>$B104*'Recycling - Case 1'!BN113*'Recycling - Case 1'!$AK113</f>
        <v>490.32869718232462</v>
      </c>
      <c r="E104" s="528">
        <f>$B104*'Recycling - Case 1'!BO113*'Recycling - Case 1'!$AK113</f>
        <v>133.92365243913937</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523.59546922488551</v>
      </c>
      <c r="J104" s="744">
        <f t="shared" si="11"/>
        <v>1617.3290932825462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0.70747044332109521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18.038911105735753</v>
      </c>
      <c r="R104" s="1378">
        <f t="shared" si="8"/>
        <v>18.746381549056849</v>
      </c>
      <c r="S104" s="485">
        <f>C104*'4C2 Open-burning '!$C$9*'4C2 Open-burning '!$C$11*$C$5</f>
        <v>1.8309769703011669</v>
      </c>
      <c r="T104" s="485">
        <f>D104*'4C2 Open-burning '!$C$9*'4C2 Open-burning '!$C$11*$C$5</f>
        <v>1.9122819190110658</v>
      </c>
      <c r="U104" s="485">
        <f>E104*'4C2 Open-burning '!$C$9*'4C2 Open-burning '!$C$11*$C$5</f>
        <v>0.52230224451264351</v>
      </c>
      <c r="V104" s="485">
        <f>F104*'4C2 Open-burning '!$C$9*'4C2 Open-burning '!$C$11*$C$5</f>
        <v>0</v>
      </c>
      <c r="W104" s="485">
        <f>G104*'4C2 Open-burning '!$C$9*'4C2 Open-burning '!$C$11*$C$5</f>
        <v>0</v>
      </c>
      <c r="X104" s="485">
        <f>H104*'4C2 Open-burning '!$C$9*'4C2 Open-burning '!$C$11*$C$5</f>
        <v>0</v>
      </c>
      <c r="Y104" s="485">
        <f>I104*'4C2 Open-burning '!$C$9*'4C2 Open-burning '!$C$11*$C$5</f>
        <v>2.0420223299770535</v>
      </c>
      <c r="Z104" s="486">
        <f t="shared" si="9"/>
        <v>6.3075834638019295</v>
      </c>
      <c r="AA104" s="487">
        <f>C104*'4C2 Open-burning '!$C$10*'4C2 Open-burning '!$C$11*$C$5*C$15</f>
        <v>1.690132587970308E-2</v>
      </c>
      <c r="AB104" s="487">
        <f>D104*'4C2 Open-burning '!$C$10*'4C2 Open-burning '!$C$11*$C$5*D$15</f>
        <v>1.7651833098563687E-2</v>
      </c>
      <c r="AC104" s="487">
        <f>E104*'4C2 Open-burning '!$C$10*'4C2 Open-burning '!$C$11*$C$5*E$15</f>
        <v>1.0847815847570288E-2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4.2411233007215735E-2</v>
      </c>
      <c r="AH104" s="488">
        <f t="shared" si="10"/>
        <v>8.7812207833052797E-2</v>
      </c>
      <c r="AI104" s="1387"/>
      <c r="AJ104" s="1386"/>
      <c r="AK104" s="1387"/>
    </row>
    <row r="105" spans="1:37">
      <c r="A105" s="489">
        <f>'Input data'!A134</f>
        <v>2034</v>
      </c>
      <c r="B105" s="122">
        <f>'Recycling - Case 1'!AP114</f>
        <v>7.466697013496236E-2</v>
      </c>
      <c r="C105" s="527">
        <f>$B105*'Recycling - Case 1'!BM114*'Recycling - Case 1'!$AK114</f>
        <v>442.47123134371031</v>
      </c>
      <c r="D105" s="528">
        <f>$B105*'Recycling - Case 1'!BN114*'Recycling - Case 1'!$AK114</f>
        <v>462.11926698453482</v>
      </c>
      <c r="E105" s="528">
        <f>$B105*'Recycling - Case 1'!BO114*'Recycling - Case 1'!$AK114</f>
        <v>126.21880067944282</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493.47214598099595</v>
      </c>
      <c r="J105" s="744">
        <f t="shared" si="11"/>
        <v>1524.2814449886839</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0.66676848522125187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17.001102373337272</v>
      </c>
      <c r="R105" s="1378">
        <f t="shared" si="8"/>
        <v>17.667870858558523</v>
      </c>
      <c r="S105" s="485">
        <f>C105*'4C2 Open-burning '!$C$9*'4C2 Open-burning '!$C$11*$C$5</f>
        <v>1.7256378022404701</v>
      </c>
      <c r="T105" s="485">
        <f>D105*'4C2 Open-burning '!$C$9*'4C2 Open-burning '!$C$11*$C$5</f>
        <v>1.8022651412396855</v>
      </c>
      <c r="U105" s="485">
        <f>E105*'4C2 Open-burning '!$C$9*'4C2 Open-burning '!$C$11*$C$5</f>
        <v>0.49225332264982691</v>
      </c>
      <c r="V105" s="485">
        <f>F105*'4C2 Open-burning '!$C$9*'4C2 Open-burning '!$C$11*$C$5</f>
        <v>0</v>
      </c>
      <c r="W105" s="485">
        <f>G105*'4C2 Open-burning '!$C$9*'4C2 Open-burning '!$C$11*$C$5</f>
        <v>0</v>
      </c>
      <c r="X105" s="485">
        <f>H105*'4C2 Open-burning '!$C$9*'4C2 Open-burning '!$C$11*$C$5</f>
        <v>0</v>
      </c>
      <c r="Y105" s="485">
        <f>I105*'4C2 Open-burning '!$C$9*'4C2 Open-burning '!$C$11*$C$5</f>
        <v>1.9245413693258842</v>
      </c>
      <c r="Z105" s="486">
        <f t="shared" si="9"/>
        <v>5.9446976354558663</v>
      </c>
      <c r="AA105" s="487">
        <f>C105*'4C2 Open-burning '!$C$10*'4C2 Open-burning '!$C$11*$C$5*C$15</f>
        <v>1.5928964328373568E-2</v>
      </c>
      <c r="AB105" s="487">
        <f>D105*'4C2 Open-burning '!$C$10*'4C2 Open-burning '!$C$11*$C$5*D$15</f>
        <v>1.663629361144325E-2</v>
      </c>
      <c r="AC105" s="487">
        <f>E105*'4C2 Open-burning '!$C$10*'4C2 Open-burning '!$C$11*$C$5*E$15</f>
        <v>1.0223722855034869E-2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3.9971243824460663E-2</v>
      </c>
      <c r="AH105" s="488">
        <f t="shared" si="10"/>
        <v>8.2760224619312345E-2</v>
      </c>
      <c r="AI105" s="1387"/>
      <c r="AJ105" s="1386"/>
      <c r="AK105" s="1387"/>
    </row>
    <row r="106" spans="1:37">
      <c r="A106" s="489">
        <f>'Input data'!A135</f>
        <v>2035</v>
      </c>
      <c r="B106" s="122">
        <f>'Recycling - Case 1'!AP115</f>
        <v>7.1138941103124659E-2</v>
      </c>
      <c r="C106" s="527">
        <f>$B106*'Recycling - Case 1'!BM115*'Recycling - Case 1'!$AK115</f>
        <v>415.60378170487979</v>
      </c>
      <c r="D106" s="528">
        <f>$B106*'Recycling - Case 1'!BN115*'Recycling - Case 1'!$AK115</f>
        <v>434.05876213513454</v>
      </c>
      <c r="E106" s="528">
        <f>$B106*'Recycling - Case 1'!BO115*'Recycling - Case 1'!$AK115</f>
        <v>118.55462495341855</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463.50785205380271</v>
      </c>
      <c r="J106" s="744">
        <f t="shared" si="11"/>
        <v>1431.7250208472356</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0.62628140396392695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15.968772518957609</v>
      </c>
      <c r="R106" s="1378">
        <f t="shared" si="8"/>
        <v>16.595053922921537</v>
      </c>
      <c r="S106" s="485">
        <f>C106*'4C2 Open-burning '!$C$9*'4C2 Open-burning '!$C$11*$C$5</f>
        <v>1.620854748649031</v>
      </c>
      <c r="T106" s="485">
        <f>D106*'4C2 Open-burning '!$C$9*'4C2 Open-burning '!$C$11*$C$5</f>
        <v>1.6928291723270246</v>
      </c>
      <c r="U106" s="485">
        <f>E106*'4C2 Open-burning '!$C$9*'4C2 Open-burning '!$C$11*$C$5</f>
        <v>0.46236303731833234</v>
      </c>
      <c r="V106" s="485">
        <f>F106*'4C2 Open-burning '!$C$9*'4C2 Open-burning '!$C$11*$C$5</f>
        <v>0</v>
      </c>
      <c r="W106" s="485">
        <f>G106*'4C2 Open-burning '!$C$9*'4C2 Open-burning '!$C$11*$C$5</f>
        <v>0</v>
      </c>
      <c r="X106" s="485">
        <f>H106*'4C2 Open-burning '!$C$9*'4C2 Open-burning '!$C$11*$C$5</f>
        <v>0</v>
      </c>
      <c r="Y106" s="485">
        <f>I106*'4C2 Open-burning '!$C$9*'4C2 Open-burning '!$C$11*$C$5</f>
        <v>1.8076806230098303</v>
      </c>
      <c r="Z106" s="486">
        <f t="shared" si="9"/>
        <v>5.5837275813042186</v>
      </c>
      <c r="AA106" s="487">
        <f>C106*'4C2 Open-burning '!$C$10*'4C2 Open-burning '!$C$11*$C$5*C$15</f>
        <v>1.4961736141375673E-2</v>
      </c>
      <c r="AB106" s="487">
        <f>D106*'4C2 Open-burning '!$C$10*'4C2 Open-burning '!$C$11*$C$5*D$15</f>
        <v>1.5626115436864842E-2</v>
      </c>
      <c r="AC106" s="487">
        <f>E106*'4C2 Open-burning '!$C$10*'4C2 Open-burning '!$C$11*$C$5*E$15</f>
        <v>9.602924621226902E-3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3.7544136016358018E-2</v>
      </c>
      <c r="AH106" s="488">
        <f t="shared" si="10"/>
        <v>7.773491221582543E-2</v>
      </c>
      <c r="AI106" s="1387"/>
      <c r="AJ106" s="1386"/>
      <c r="AK106" s="1387"/>
    </row>
    <row r="107" spans="1:37">
      <c r="A107" s="489">
        <f>'Input data'!A136</f>
        <v>2036</v>
      </c>
      <c r="B107" s="122">
        <f>'Recycling - Case 1'!AP116</f>
        <v>6.7583591152434661E-2</v>
      </c>
      <c r="C107" s="527">
        <f>$B107*'Recycling - Case 1'!BM116*'Recycling - Case 1'!$AK116</f>
        <v>389.0095511435855</v>
      </c>
      <c r="D107" s="528">
        <f>$B107*'Recycling - Case 1'!BN116*'Recycling - Case 1'!$AK116</f>
        <v>406.28360871853556</v>
      </c>
      <c r="E107" s="528">
        <f>$B107*'Recycling - Case 1'!BO116*'Recycling - Case 1'!$AK116</f>
        <v>110.96838736629807</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433.8482694727129</v>
      </c>
      <c r="J107" s="744">
        <f t="shared" si="11"/>
        <v>1340.1098167011319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0.58620604183670089</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14.946940579873903</v>
      </c>
      <c r="R107" s="1378">
        <f t="shared" si="8"/>
        <v>15.533146621710603</v>
      </c>
      <c r="S107" s="485">
        <f>C107*'4C2 Open-burning '!$C$9*'4C2 Open-burning '!$C$11*$C$5</f>
        <v>1.5171372494599833</v>
      </c>
      <c r="T107" s="485">
        <f>D107*'4C2 Open-burning '!$C$9*'4C2 Open-burning '!$C$11*$C$5</f>
        <v>1.5845060740022887</v>
      </c>
      <c r="U107" s="485">
        <f>E107*'4C2 Open-burning '!$C$9*'4C2 Open-burning '!$C$11*$C$5</f>
        <v>0.43277671072856239</v>
      </c>
      <c r="V107" s="485">
        <f>F107*'4C2 Open-burning '!$C$9*'4C2 Open-burning '!$C$11*$C$5</f>
        <v>0</v>
      </c>
      <c r="W107" s="485">
        <f>G107*'4C2 Open-burning '!$C$9*'4C2 Open-burning '!$C$11*$C$5</f>
        <v>0</v>
      </c>
      <c r="X107" s="485">
        <f>H107*'4C2 Open-burning '!$C$9*'4C2 Open-burning '!$C$11*$C$5</f>
        <v>0</v>
      </c>
      <c r="Y107" s="485">
        <f>I107*'4C2 Open-burning '!$C$9*'4C2 Open-burning '!$C$11*$C$5</f>
        <v>1.6920082509435799</v>
      </c>
      <c r="Z107" s="486">
        <f t="shared" si="9"/>
        <v>5.2264282851344142</v>
      </c>
      <c r="AA107" s="487">
        <f>C107*'4C2 Open-burning '!$C$10*'4C2 Open-burning '!$C$11*$C$5*C$15</f>
        <v>1.400434384116908E-2</v>
      </c>
      <c r="AB107" s="487">
        <f>D107*'4C2 Open-burning '!$C$10*'4C2 Open-burning '!$C$11*$C$5*D$15</f>
        <v>1.4626209913867282E-2</v>
      </c>
      <c r="AC107" s="487">
        <f>E107*'4C2 Open-burning '!$C$10*'4C2 Open-burning '!$C$11*$C$5*E$15</f>
        <v>8.9884393766701421E-3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3.5141709827289744E-2</v>
      </c>
      <c r="AH107" s="488">
        <f t="shared" si="10"/>
        <v>7.2760702958996254E-2</v>
      </c>
      <c r="AI107" s="1387"/>
      <c r="AJ107" s="1386"/>
      <c r="AK107" s="1387"/>
    </row>
    <row r="108" spans="1:37">
      <c r="A108" s="489">
        <f>'Input data'!A137</f>
        <v>2037</v>
      </c>
      <c r="B108" s="122">
        <f>'Recycling - Case 1'!AP117</f>
        <v>6.6151246975557451E-2</v>
      </c>
      <c r="C108" s="527">
        <f>$B108*'Recycling - Case 1'!BM117*'Recycling - Case 1'!$AK117</f>
        <v>379.57019614335758</v>
      </c>
      <c r="D108" s="528">
        <f>$B108*'Recycling - Case 1'!BN117*'Recycling - Case 1'!$AK117</f>
        <v>396.42509701311883</v>
      </c>
      <c r="E108" s="528">
        <f>$B108*'Recycling - Case 1'!BO117*'Recycling - Case 1'!$AK117</f>
        <v>108.27572853806619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423.3208985643418</v>
      </c>
      <c r="J108" s="744">
        <f t="shared" si="11"/>
        <v>1307.5919202588846</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0.57198169460433002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14.584251597338703</v>
      </c>
      <c r="R108" s="1378">
        <f t="shared" si="8"/>
        <v>15.156233291943034</v>
      </c>
      <c r="S108" s="485">
        <f>C108*'4C2 Open-burning '!$C$9*'4C2 Open-burning '!$C$11*$C$5</f>
        <v>1.4803237649590943</v>
      </c>
      <c r="T108" s="485">
        <f>D108*'4C2 Open-burning '!$C$9*'4C2 Open-burning '!$C$11*$C$5</f>
        <v>1.5460578783511632</v>
      </c>
      <c r="U108" s="485">
        <f>E108*'4C2 Open-burning '!$C$9*'4C2 Open-burning '!$C$11*$C$5</f>
        <v>0.42227534129845812</v>
      </c>
      <c r="V108" s="485">
        <f>F108*'4C2 Open-burning '!$C$9*'4C2 Open-burning '!$C$11*$C$5</f>
        <v>0</v>
      </c>
      <c r="W108" s="485">
        <f>G108*'4C2 Open-burning '!$C$9*'4C2 Open-burning '!$C$11*$C$5</f>
        <v>0</v>
      </c>
      <c r="X108" s="485">
        <f>H108*'4C2 Open-burning '!$C$9*'4C2 Open-burning '!$C$11*$C$5</f>
        <v>0</v>
      </c>
      <c r="Y108" s="485">
        <f>I108*'4C2 Open-burning '!$C$9*'4C2 Open-burning '!$C$11*$C$5</f>
        <v>1.6509515044009329</v>
      </c>
      <c r="Z108" s="486">
        <f t="shared" si="9"/>
        <v>5.0996084890096478</v>
      </c>
      <c r="AA108" s="487">
        <f>C108*'4C2 Open-burning '!$C$10*'4C2 Open-burning '!$C$11*$C$5*C$15</f>
        <v>1.3664527061160871E-2</v>
      </c>
      <c r="AB108" s="487">
        <f>D108*'4C2 Open-burning '!$C$10*'4C2 Open-burning '!$C$11*$C$5*D$15</f>
        <v>1.4271303492472277E-2</v>
      </c>
      <c r="AC108" s="487">
        <f>E108*'4C2 Open-burning '!$C$10*'4C2 Open-burning '!$C$11*$C$5*E$15</f>
        <v>8.7703340115833604E-3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3.4288992783711683E-2</v>
      </c>
      <c r="AH108" s="488">
        <f t="shared" si="10"/>
        <v>7.0995157348928195E-2</v>
      </c>
      <c r="AI108" s="1387"/>
      <c r="AJ108" s="1386"/>
      <c r="AK108" s="1387"/>
    </row>
    <row r="109" spans="1:37">
      <c r="A109" s="489">
        <f>'Input data'!A138</f>
        <v>2038</v>
      </c>
      <c r="B109" s="122">
        <f>'Recycling - Case 1'!AP118</f>
        <v>6.3722555709803425E-2</v>
      </c>
      <c r="C109" s="527">
        <f>$B109*'Recycling - Case 1'!BM118*'Recycling - Case 1'!$AK118</f>
        <v>362.55825406346776</v>
      </c>
      <c r="D109" s="528">
        <f>$B109*'Recycling - Case 1'!BN118*'Recycling - Case 1'!$AK118</f>
        <v>378.65773577684627</v>
      </c>
      <c r="E109" s="528">
        <f>$B109*'Recycling - Case 1'!BO118*'Recycling - Case 1'!$AK118</f>
        <v>103.42292280868335</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404.34809542870363</v>
      </c>
      <c r="J109" s="744">
        <f t="shared" si="11"/>
        <v>1248.9870080777009</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0.54634606894606297</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13.930600583709696</v>
      </c>
      <c r="R109" s="1378">
        <f t="shared" si="8"/>
        <v>14.476946652655759</v>
      </c>
      <c r="S109" s="485">
        <f>C109*'4C2 Open-burning '!$C$9*'4C2 Open-burning '!$C$11*$C$5</f>
        <v>1.4139771908475243</v>
      </c>
      <c r="T109" s="485">
        <f>D109*'4C2 Open-burning '!$C$9*'4C2 Open-burning '!$C$11*$C$5</f>
        <v>1.4767651695297004</v>
      </c>
      <c r="U109" s="485">
        <f>E109*'4C2 Open-burning '!$C$9*'4C2 Open-burning '!$C$11*$C$5</f>
        <v>0.40334939895386507</v>
      </c>
      <c r="V109" s="485">
        <f>F109*'4C2 Open-burning '!$C$9*'4C2 Open-burning '!$C$11*$C$5</f>
        <v>0</v>
      </c>
      <c r="W109" s="485">
        <f>G109*'4C2 Open-burning '!$C$9*'4C2 Open-burning '!$C$11*$C$5</f>
        <v>0</v>
      </c>
      <c r="X109" s="485">
        <f>H109*'4C2 Open-burning '!$C$9*'4C2 Open-burning '!$C$11*$C$5</f>
        <v>0</v>
      </c>
      <c r="Y109" s="485">
        <f>I109*'4C2 Open-burning '!$C$9*'4C2 Open-burning '!$C$11*$C$5</f>
        <v>1.576957572171944</v>
      </c>
      <c r="Z109" s="486">
        <f t="shared" si="9"/>
        <v>4.8710493315030332</v>
      </c>
      <c r="AA109" s="487">
        <f>C109*'4C2 Open-burning '!$C$10*'4C2 Open-burning '!$C$11*$C$5*C$15</f>
        <v>1.3052097146284839E-2</v>
      </c>
      <c r="AB109" s="487">
        <f>D109*'4C2 Open-burning '!$C$10*'4C2 Open-burning '!$C$11*$C$5*D$15</f>
        <v>1.3631678487966465E-2</v>
      </c>
      <c r="AC109" s="487">
        <f>E109*'4C2 Open-burning '!$C$10*'4C2 Open-burning '!$C$11*$C$5*E$15</f>
        <v>8.3772567475033505E-3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3.2752195729724994E-2</v>
      </c>
      <c r="AH109" s="488">
        <f t="shared" si="10"/>
        <v>6.7813228111479648E-2</v>
      </c>
      <c r="AI109" s="1387"/>
      <c r="AJ109" s="1386"/>
      <c r="AK109" s="1387"/>
    </row>
    <row r="110" spans="1:37">
      <c r="A110" s="489">
        <f>'Input data'!A139</f>
        <v>2039</v>
      </c>
      <c r="B110" s="122">
        <f>'Recycling - Case 1'!AP119</f>
        <v>6.1263360258208409E-2</v>
      </c>
      <c r="C110" s="527">
        <f>$B110*'Recycling - Case 1'!BM119*'Recycling - Case 1'!$AK119</f>
        <v>345.621044908763</v>
      </c>
      <c r="D110" s="528">
        <f>$B110*'Recycling - Case 1'!BN119*'Recycling - Case 1'!$AK119</f>
        <v>360.96842599829495</v>
      </c>
      <c r="E110" s="528">
        <f>$B110*'Recycling - Case 1'!BO119*'Recycling - Case 1'!$AK119</f>
        <v>98.591435301864891</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385.45863921904413</v>
      </c>
      <c r="J110" s="744">
        <f t="shared" si="11"/>
        <v>1190.6395454279668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0.52082305978304355</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13.279821038374507</v>
      </c>
      <c r="R110" s="1378">
        <f t="shared" si="8"/>
        <v>13.800644098157552</v>
      </c>
      <c r="S110" s="485">
        <f>C110*'4C2 Open-burning '!$C$9*'4C2 Open-burning '!$C$11*$C$5</f>
        <v>1.3479220751441756</v>
      </c>
      <c r="T110" s="485">
        <f>D110*'4C2 Open-burning '!$C$9*'4C2 Open-burning '!$C$11*$C$5</f>
        <v>1.4077768613933501</v>
      </c>
      <c r="U110" s="485">
        <f>E110*'4C2 Open-burning '!$C$9*'4C2 Open-burning '!$C$11*$C$5</f>
        <v>0.38450659767727308</v>
      </c>
      <c r="V110" s="485">
        <f>F110*'4C2 Open-burning '!$C$9*'4C2 Open-burning '!$C$11*$C$5</f>
        <v>0</v>
      </c>
      <c r="W110" s="485">
        <f>G110*'4C2 Open-burning '!$C$9*'4C2 Open-burning '!$C$11*$C$5</f>
        <v>0</v>
      </c>
      <c r="X110" s="485">
        <f>H110*'4C2 Open-burning '!$C$9*'4C2 Open-burning '!$C$11*$C$5</f>
        <v>0</v>
      </c>
      <c r="Y110" s="485">
        <f>I110*'4C2 Open-burning '!$C$9*'4C2 Open-burning '!$C$11*$C$5</f>
        <v>1.5032886929542719</v>
      </c>
      <c r="Z110" s="486">
        <f t="shared" si="9"/>
        <v>4.6434942271690707</v>
      </c>
      <c r="AA110" s="487">
        <f>C110*'4C2 Open-burning '!$C$10*'4C2 Open-burning '!$C$11*$C$5*C$15</f>
        <v>1.2442357616715468E-2</v>
      </c>
      <c r="AB110" s="487">
        <f>D110*'4C2 Open-burning '!$C$10*'4C2 Open-burning '!$C$11*$C$5*D$15</f>
        <v>1.2994863335938618E-2</v>
      </c>
      <c r="AC110" s="487">
        <f>E110*'4C2 Open-burning '!$C$10*'4C2 Open-burning '!$C$11*$C$5*E$15</f>
        <v>7.9859062594510553E-3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3.1222149776742571E-2</v>
      </c>
      <c r="AH110" s="488">
        <f t="shared" si="10"/>
        <v>6.46452769888477E-2</v>
      </c>
      <c r="AI110" s="1387"/>
      <c r="AJ110" s="1386"/>
      <c r="AK110" s="1387"/>
    </row>
    <row r="111" spans="1:37">
      <c r="A111" s="489">
        <f>'Input data'!A140</f>
        <v>2040</v>
      </c>
      <c r="B111" s="122">
        <f>'Recycling - Case 1'!AP120</f>
        <v>5.8772920332941909E-2</v>
      </c>
      <c r="C111" s="527">
        <f>$B111*'Recycling - Case 1'!BM120*'Recycling - Case 1'!$AK120</f>
        <v>328.75732500361454</v>
      </c>
      <c r="D111" s="528">
        <f>$B111*'Recycling - Case 1'!BN120*'Recycling - Case 1'!$AK120</f>
        <v>343.35586877613713</v>
      </c>
      <c r="E111" s="528">
        <f>$B111*'Recycling - Case 1'!BO120*'Recycling - Case 1'!$AK120</f>
        <v>93.780911248226573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366.65114290895809</v>
      </c>
      <c r="J111" s="744">
        <f t="shared" si="11"/>
        <v>1132.5452479369362</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0.49541079299633162</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12.631865175499422</v>
      </c>
      <c r="R111" s="1378">
        <f t="shared" si="8"/>
        <v>13.127275968495754</v>
      </c>
      <c r="S111" s="485">
        <f>C111*'4C2 Open-burning '!$C$9*'4C2 Open-burning '!$C$11*$C$5</f>
        <v>1.2821535675140965</v>
      </c>
      <c r="T111" s="485">
        <f>D111*'4C2 Open-burning '!$C$9*'4C2 Open-burning '!$C$11*$C$5</f>
        <v>1.3390878882269346</v>
      </c>
      <c r="U111" s="485">
        <f>E111*'4C2 Open-burning '!$C$9*'4C2 Open-burning '!$C$11*$C$5</f>
        <v>0.36574555386808366</v>
      </c>
      <c r="V111" s="485">
        <f>F111*'4C2 Open-burning '!$C$9*'4C2 Open-burning '!$C$11*$C$5</f>
        <v>0</v>
      </c>
      <c r="W111" s="485">
        <f>G111*'4C2 Open-burning '!$C$9*'4C2 Open-burning '!$C$11*$C$5</f>
        <v>0</v>
      </c>
      <c r="X111" s="485">
        <f>H111*'4C2 Open-burning '!$C$9*'4C2 Open-burning '!$C$11*$C$5</f>
        <v>0</v>
      </c>
      <c r="Y111" s="485">
        <f>I111*'4C2 Open-burning '!$C$9*'4C2 Open-burning '!$C$11*$C$5</f>
        <v>1.4299394573449362</v>
      </c>
      <c r="Z111" s="486">
        <f t="shared" si="9"/>
        <v>4.4169264669540507</v>
      </c>
      <c r="AA111" s="487">
        <f>C111*'4C2 Open-burning '!$C$10*'4C2 Open-burning '!$C$11*$C$5*C$15</f>
        <v>1.1835263700130123E-2</v>
      </c>
      <c r="AB111" s="487">
        <f>D111*'4C2 Open-burning '!$C$10*'4C2 Open-burning '!$C$11*$C$5*D$15</f>
        <v>1.2360811275940936E-2</v>
      </c>
      <c r="AC111" s="487">
        <f>E111*'4C2 Open-burning '!$C$10*'4C2 Open-burning '!$C$11*$C$5*E$15</f>
        <v>7.5962538111063521E-3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2.9698742575625603E-2</v>
      </c>
      <c r="AH111" s="488">
        <f t="shared" si="10"/>
        <v>6.1491071362803011E-2</v>
      </c>
      <c r="AI111" s="1387"/>
      <c r="AJ111" s="1386"/>
      <c r="AK111" s="1387"/>
    </row>
    <row r="112" spans="1:37">
      <c r="A112" s="489">
        <f>'Input data'!A141</f>
        <v>2041</v>
      </c>
      <c r="B112" s="122">
        <f>'Recycling - Case 1'!AP121</f>
        <v>5.6293584836045178E-2</v>
      </c>
      <c r="C112" s="527">
        <f>$B112*'Recycling - Case 1'!BM121*'Recycling - Case 1'!$AK121</f>
        <v>312.05961686342658</v>
      </c>
      <c r="D112" s="528">
        <f>$B112*'Recycling - Case 1'!BN121*'Recycling - Case 1'!$AK121</f>
        <v>325.91669510911214</v>
      </c>
      <c r="E112" s="528">
        <f>$B112*'Recycling - Case 1'!BO121*'Recycling - Case 1'!$AK121</f>
        <v>89.017743507016434</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348.02879351037723</v>
      </c>
      <c r="J112" s="744">
        <f t="shared" si="11"/>
        <v>1075.0228489899323</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0.47024869255990526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11.990287994019514</v>
      </c>
      <c r="R112" s="1378">
        <f t="shared" si="8"/>
        <v>12.46053668657942</v>
      </c>
      <c r="S112" s="485">
        <f>C112*'4C2 Open-burning '!$C$9*'4C2 Open-burning '!$C$11*$C$5</f>
        <v>1.2170325057673637</v>
      </c>
      <c r="T112" s="485">
        <f>D112*'4C2 Open-burning '!$C$9*'4C2 Open-burning '!$C$11*$C$5</f>
        <v>1.2710751109255372</v>
      </c>
      <c r="U112" s="485">
        <f>E112*'4C2 Open-burning '!$C$9*'4C2 Open-burning '!$C$11*$C$5</f>
        <v>0.34716919967736404</v>
      </c>
      <c r="V112" s="485">
        <f>F112*'4C2 Open-burning '!$C$9*'4C2 Open-burning '!$C$11*$C$5</f>
        <v>0</v>
      </c>
      <c r="W112" s="485">
        <f>G112*'4C2 Open-burning '!$C$9*'4C2 Open-burning '!$C$11*$C$5</f>
        <v>0</v>
      </c>
      <c r="X112" s="485">
        <f>H112*'4C2 Open-burning '!$C$9*'4C2 Open-burning '!$C$11*$C$5</f>
        <v>0</v>
      </c>
      <c r="Y112" s="485">
        <f>I112*'4C2 Open-burning '!$C$9*'4C2 Open-burning '!$C$11*$C$5</f>
        <v>1.3573122946904708</v>
      </c>
      <c r="Z112" s="486">
        <f t="shared" si="9"/>
        <v>4.1925891110607356</v>
      </c>
      <c r="AA112" s="487">
        <f>C112*'4C2 Open-burning '!$C$10*'4C2 Open-burning '!$C$11*$C$5*C$15</f>
        <v>1.1234146207083358E-2</v>
      </c>
      <c r="AB112" s="487">
        <f>D112*'4C2 Open-burning '!$C$10*'4C2 Open-burning '!$C$11*$C$5*D$15</f>
        <v>1.1733001023928036E-2</v>
      </c>
      <c r="AC112" s="487">
        <f>E112*'4C2 Open-burning '!$C$10*'4C2 Open-burning '!$C$11*$C$5*E$15</f>
        <v>7.21043722406833E-3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2.8190332274340556E-2</v>
      </c>
      <c r="AH112" s="488">
        <f t="shared" si="10"/>
        <v>5.836791672942028E-2</v>
      </c>
      <c r="AI112" s="1387"/>
      <c r="AJ112" s="1386"/>
      <c r="AK112" s="1387"/>
    </row>
    <row r="113" spans="1:37">
      <c r="A113" s="489">
        <f>'Input data'!A142</f>
        <v>2042</v>
      </c>
      <c r="B113" s="122">
        <f>'Recycling - Case 1'!AP122</f>
        <v>5.3778228960326746E-2</v>
      </c>
      <c r="C113" s="527">
        <f>$B113*'Recycling - Case 1'!BM122*'Recycling - Case 1'!$AK122</f>
        <v>295.42144505851621</v>
      </c>
      <c r="D113" s="528">
        <f>$B113*'Recycling - Case 1'!BN122*'Recycling - Case 1'!$AK122</f>
        <v>308.5397015018707</v>
      </c>
      <c r="E113" s="528">
        <f>$B113*'Recycling - Case 1'!BO122*'Recycling - Case 1'!$AK122</f>
        <v>84.271559027775126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329.47284283119791</v>
      </c>
      <c r="J113" s="744">
        <f t="shared" si="11"/>
        <v>1017.7055484193598</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0.44517630858248597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11.35099838122043</v>
      </c>
      <c r="R113" s="1378">
        <f t="shared" si="8"/>
        <v>11.796174689802916</v>
      </c>
      <c r="S113" s="485">
        <f>C113*'4C2 Open-burning '!$C$9*'4C2 Open-burning '!$C$11*$C$5</f>
        <v>1.1521436357282131</v>
      </c>
      <c r="T113" s="485">
        <f>D113*'4C2 Open-burning '!$C$9*'4C2 Open-burning '!$C$11*$C$5</f>
        <v>1.2033048358572958</v>
      </c>
      <c r="U113" s="485">
        <f>E113*'4C2 Open-burning '!$C$9*'4C2 Open-burning '!$C$11*$C$5</f>
        <v>0.32865908020832296</v>
      </c>
      <c r="V113" s="485">
        <f>F113*'4C2 Open-burning '!$C$9*'4C2 Open-burning '!$C$11*$C$5</f>
        <v>0</v>
      </c>
      <c r="W113" s="485">
        <f>G113*'4C2 Open-burning '!$C$9*'4C2 Open-burning '!$C$11*$C$5</f>
        <v>0</v>
      </c>
      <c r="X113" s="485">
        <f>H113*'4C2 Open-burning '!$C$9*'4C2 Open-burning '!$C$11*$C$5</f>
        <v>0</v>
      </c>
      <c r="Y113" s="485">
        <f>I113*'4C2 Open-burning '!$C$9*'4C2 Open-burning '!$C$11*$C$5</f>
        <v>1.2849440870416717</v>
      </c>
      <c r="Z113" s="486">
        <f t="shared" si="9"/>
        <v>3.9690516388355039</v>
      </c>
      <c r="AA113" s="487">
        <f>C113*'4C2 Open-burning '!$C$10*'4C2 Open-burning '!$C$11*$C$5*C$15</f>
        <v>1.0635172022106584E-2</v>
      </c>
      <c r="AB113" s="487">
        <f>D113*'4C2 Open-burning '!$C$10*'4C2 Open-burning '!$C$11*$C$5*D$15</f>
        <v>1.1107429254067344E-2</v>
      </c>
      <c r="AC113" s="487">
        <f>E113*'4C2 Open-burning '!$C$10*'4C2 Open-burning '!$C$11*$C$5*E$15</f>
        <v>6.8259962812497847E-3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2.6687300269327027E-2</v>
      </c>
      <c r="AH113" s="488">
        <f t="shared" si="10"/>
        <v>5.5255897826750736E-2</v>
      </c>
      <c r="AI113" s="1387"/>
      <c r="AJ113" s="1386"/>
      <c r="AK113" s="1387"/>
    </row>
    <row r="114" spans="1:37">
      <c r="A114" s="489">
        <f>'Input data'!A143</f>
        <v>2043</v>
      </c>
      <c r="B114" s="122">
        <f>'Recycling - Case 1'!AP123</f>
        <v>5.1225918046900867E-2</v>
      </c>
      <c r="C114" s="527">
        <f>$B114*'Recycling - Case 1'!BM123*'Recycling - Case 1'!$AK123</f>
        <v>278.84197211508337</v>
      </c>
      <c r="D114" s="528">
        <f>$B114*'Recycling - Case 1'!BN123*'Recycling - Case 1'!$AK123</f>
        <v>291.22401329239801</v>
      </c>
      <c r="E114" s="528">
        <f>$B114*'Recycling - Case 1'!BO123*'Recycling - Case 1'!$AK123</f>
        <v>79.542118913753768</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310.98235686720921</v>
      </c>
      <c r="J114" s="744">
        <f t="shared" si="11"/>
        <v>960.59046118844424</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0.42019237905855222</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10.713964158789091</v>
      </c>
      <c r="R114" s="1378">
        <f t="shared" si="8"/>
        <v>11.134156537847643</v>
      </c>
      <c r="S114" s="485">
        <f>C114*'4C2 Open-burning '!$C$9*'4C2 Open-burning '!$C$11*$C$5</f>
        <v>1.087483691248825</v>
      </c>
      <c r="T114" s="485">
        <f>D114*'4C2 Open-burning '!$C$9*'4C2 Open-burning '!$C$11*$C$5</f>
        <v>1.1357736518403521</v>
      </c>
      <c r="U114" s="485">
        <f>E114*'4C2 Open-burning '!$C$9*'4C2 Open-burning '!$C$11*$C$5</f>
        <v>0.3102142637636397</v>
      </c>
      <c r="V114" s="485">
        <f>F114*'4C2 Open-burning '!$C$9*'4C2 Open-burning '!$C$11*$C$5</f>
        <v>0</v>
      </c>
      <c r="W114" s="485">
        <f>G114*'4C2 Open-burning '!$C$9*'4C2 Open-burning '!$C$11*$C$5</f>
        <v>0</v>
      </c>
      <c r="X114" s="485">
        <f>H114*'4C2 Open-burning '!$C$9*'4C2 Open-burning '!$C$11*$C$5</f>
        <v>0</v>
      </c>
      <c r="Y114" s="485">
        <f>I114*'4C2 Open-burning '!$C$9*'4C2 Open-burning '!$C$11*$C$5</f>
        <v>1.2128311917821157</v>
      </c>
      <c r="Z114" s="486">
        <f t="shared" si="9"/>
        <v>3.7463027986349324</v>
      </c>
      <c r="AA114" s="487">
        <f>C114*'4C2 Open-burning '!$C$10*'4C2 Open-burning '!$C$11*$C$5*C$15</f>
        <v>1.0038310996143003E-2</v>
      </c>
      <c r="AB114" s="487">
        <f>D114*'4C2 Open-burning '!$C$10*'4C2 Open-burning '!$C$11*$C$5*D$15</f>
        <v>1.0484064478526327E-2</v>
      </c>
      <c r="AC114" s="487">
        <f>E114*'4C2 Open-burning '!$C$10*'4C2 Open-burning '!$C$11*$C$5*E$15</f>
        <v>6.4429116320140556E-3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2.5189570906243942E-2</v>
      </c>
      <c r="AH114" s="488">
        <f t="shared" si="10"/>
        <v>5.2154858012927324E-2</v>
      </c>
      <c r="AI114" s="1387"/>
      <c r="AJ114" s="1386"/>
      <c r="AK114" s="1387"/>
    </row>
    <row r="115" spans="1:37">
      <c r="A115" s="489">
        <f>'Input data'!A144</f>
        <v>2044</v>
      </c>
      <c r="B115" s="122">
        <f>'Recycling - Case 1'!AP124</f>
        <v>4.863569089555568E-2</v>
      </c>
      <c r="C115" s="527">
        <f>$B115*'Recycling - Case 1'!BM124*'Recycling - Case 1'!$AK124</f>
        <v>262.32037416040964</v>
      </c>
      <c r="D115" s="528">
        <f>$B115*'Recycling - Case 1'!BN124*'Recycling - Case 1'!$AK124</f>
        <v>273.96877002372048</v>
      </c>
      <c r="E115" s="528">
        <f>$B115*'Recycling - Case 1'!BO124*'Recycling - Case 1'!$AK124</f>
        <v>74.829188148031349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292.55641678299412</v>
      </c>
      <c r="J115" s="744">
        <f t="shared" si="11"/>
        <v>903.67474911515558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0.39529566247831632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10.079153671007713</v>
      </c>
      <c r="R115" s="1378">
        <f t="shared" si="8"/>
        <v>10.47444933348603</v>
      </c>
      <c r="S115" s="485">
        <f>C115*'4C2 Open-burning '!$C$9*'4C2 Open-burning '!$C$11*$C$5</f>
        <v>1.0230494592255976</v>
      </c>
      <c r="T115" s="485">
        <f>D115*'4C2 Open-burning '!$C$9*'4C2 Open-burning '!$C$11*$C$5</f>
        <v>1.0684782030925097</v>
      </c>
      <c r="U115" s="485">
        <f>E115*'4C2 Open-burning '!$C$9*'4C2 Open-burning '!$C$11*$C$5</f>
        <v>0.29183383377732225</v>
      </c>
      <c r="V115" s="485">
        <f>F115*'4C2 Open-burning '!$C$9*'4C2 Open-burning '!$C$11*$C$5</f>
        <v>0</v>
      </c>
      <c r="W115" s="485">
        <f>G115*'4C2 Open-burning '!$C$9*'4C2 Open-burning '!$C$11*$C$5</f>
        <v>0</v>
      </c>
      <c r="X115" s="485">
        <f>H115*'4C2 Open-burning '!$C$9*'4C2 Open-burning '!$C$11*$C$5</f>
        <v>0</v>
      </c>
      <c r="Y115" s="485">
        <f>I115*'4C2 Open-burning '!$C$9*'4C2 Open-burning '!$C$11*$C$5</f>
        <v>1.140970025453677</v>
      </c>
      <c r="Z115" s="486">
        <f t="shared" si="9"/>
        <v>3.5243315215491062</v>
      </c>
      <c r="AA115" s="487">
        <f>C115*'4C2 Open-burning '!$C$10*'4C2 Open-burning '!$C$11*$C$5*C$15</f>
        <v>9.4435334697747474E-3</v>
      </c>
      <c r="AB115" s="487">
        <f>D115*'4C2 Open-burning '!$C$10*'4C2 Open-burning '!$C$11*$C$5*D$15</f>
        <v>9.8628757208539374E-3</v>
      </c>
      <c r="AC115" s="487">
        <f>E115*'4C2 Open-burning '!$C$10*'4C2 Open-burning '!$C$11*$C$5*E$15</f>
        <v>6.0611642399905396E-3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2.3697069759422523E-2</v>
      </c>
      <c r="AH115" s="488">
        <f t="shared" si="10"/>
        <v>4.9064643190041744E-2</v>
      </c>
      <c r="AI115" s="1387"/>
      <c r="AJ115" s="1386"/>
      <c r="AK115" s="1387"/>
    </row>
    <row r="116" spans="1:37">
      <c r="A116" s="489">
        <f>'Input data'!A145</f>
        <v>2045</v>
      </c>
      <c r="B116" s="122">
        <f>'Recycling - Case 1'!AP125</f>
        <v>4.6006558773844769E-2</v>
      </c>
      <c r="C116" s="527">
        <f>$B116*'Recycling - Case 1'!BM125*'Recycling - Case 1'!$AK125</f>
        <v>245.85584065459548</v>
      </c>
      <c r="D116" s="528">
        <f>$B116*'Recycling - Case 1'!BN125*'Recycling - Case 1'!$AK125</f>
        <v>256.77312516372996</v>
      </c>
      <c r="E116" s="528">
        <f>$B116*'Recycling - Case 1'!BO125*'Recycling - Case 1'!$AK125</f>
        <v>70.132535516990401</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274.19411861274585</v>
      </c>
      <c r="J116" s="744">
        <f t="shared" si="11"/>
        <v>846.95561994806167</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0.37048493742347416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9.4465357744463194</v>
      </c>
      <c r="R116" s="1378">
        <f t="shared" si="8"/>
        <v>9.8170207118697927</v>
      </c>
      <c r="S116" s="485">
        <f>C116*'4C2 Open-burning '!$C$9*'4C2 Open-burning '!$C$11*$C$5</f>
        <v>0.95883777855292229</v>
      </c>
      <c r="T116" s="485">
        <f>D116*'4C2 Open-burning '!$C$9*'4C2 Open-burning '!$C$11*$C$5</f>
        <v>1.0014151881385467</v>
      </c>
      <c r="U116" s="485">
        <f>E116*'4C2 Open-burning '!$C$9*'4C2 Open-burning '!$C$11*$C$5</f>
        <v>0.27351688851626255</v>
      </c>
      <c r="V116" s="485">
        <f>F116*'4C2 Open-burning '!$C$9*'4C2 Open-burning '!$C$11*$C$5</f>
        <v>0</v>
      </c>
      <c r="W116" s="485">
        <f>G116*'4C2 Open-burning '!$C$9*'4C2 Open-burning '!$C$11*$C$5</f>
        <v>0</v>
      </c>
      <c r="X116" s="485">
        <f>H116*'4C2 Open-burning '!$C$9*'4C2 Open-burning '!$C$11*$C$5</f>
        <v>0</v>
      </c>
      <c r="Y116" s="485">
        <f>I116*'4C2 Open-burning '!$C$9*'4C2 Open-burning '!$C$11*$C$5</f>
        <v>1.0693570625897086</v>
      </c>
      <c r="Z116" s="486">
        <f t="shared" si="9"/>
        <v>3.3031269177974401</v>
      </c>
      <c r="AA116" s="487">
        <f>C116*'4C2 Open-burning '!$C$10*'4C2 Open-burning '!$C$11*$C$5*C$15</f>
        <v>8.8508102635654375E-3</v>
      </c>
      <c r="AB116" s="487">
        <f>D116*'4C2 Open-burning '!$C$10*'4C2 Open-burning '!$C$11*$C$5*D$15</f>
        <v>9.2438325058942766E-3</v>
      </c>
      <c r="AC116" s="487">
        <f>E116*'4C2 Open-burning '!$C$10*'4C2 Open-burning '!$C$11*$C$5*E$15</f>
        <v>5.6807353768762222E-3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2.2209723607632414E-2</v>
      </c>
      <c r="AH116" s="488">
        <f t="shared" si="10"/>
        <v>4.5985101753968347E-2</v>
      </c>
      <c r="AI116" s="1387"/>
      <c r="AJ116" s="1386"/>
      <c r="AK116" s="1387"/>
    </row>
    <row r="117" spans="1:37">
      <c r="A117" s="489">
        <f>'Input data'!A146</f>
        <v>2046</v>
      </c>
      <c r="B117" s="122">
        <f>'Recycling - Case 1'!AP126</f>
        <v>4.3371987398720752E-2</v>
      </c>
      <c r="C117" s="527">
        <f>$B117*'Recycling - Case 1'!BM126*'Recycling - Case 1'!$AK126</f>
        <v>229.51378542235705</v>
      </c>
      <c r="D117" s="528">
        <f>$B117*'Recycling - Case 1'!BN126*'Recycling - Case 1'!$AK126</f>
        <v>239.70539725290348</v>
      </c>
      <c r="E117" s="528">
        <f>$B117*'Recycling - Case 1'!BO126*'Recycling - Case 1'!$AK126</f>
        <v>65.470820888027163</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255.96841602705999</v>
      </c>
      <c r="J117" s="744">
        <f t="shared" si="11"/>
        <v>790.65841959034776</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0.34585877725592779</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8.81862386896427</v>
      </c>
      <c r="R117" s="1378">
        <f t="shared" si="8"/>
        <v>9.1644826462201969</v>
      </c>
      <c r="S117" s="485">
        <f>C117*'4C2 Open-burning '!$C$9*'4C2 Open-burning '!$C$11*$C$5</f>
        <v>0.89510376314719242</v>
      </c>
      <c r="T117" s="485">
        <f>D117*'4C2 Open-burning '!$C$9*'4C2 Open-burning '!$C$11*$C$5</f>
        <v>0.93485104928632345</v>
      </c>
      <c r="U117" s="485">
        <f>E117*'4C2 Open-burning '!$C$9*'4C2 Open-burning '!$C$11*$C$5</f>
        <v>0.25533620146330593</v>
      </c>
      <c r="V117" s="485">
        <f>F117*'4C2 Open-burning '!$C$9*'4C2 Open-burning '!$C$11*$C$5</f>
        <v>0</v>
      </c>
      <c r="W117" s="485">
        <f>G117*'4C2 Open-burning '!$C$9*'4C2 Open-burning '!$C$11*$C$5</f>
        <v>0</v>
      </c>
      <c r="X117" s="485">
        <f>H117*'4C2 Open-burning '!$C$9*'4C2 Open-burning '!$C$11*$C$5</f>
        <v>0</v>
      </c>
      <c r="Y117" s="485">
        <f>I117*'4C2 Open-burning '!$C$9*'4C2 Open-burning '!$C$11*$C$5</f>
        <v>0.99827682250553385</v>
      </c>
      <c r="Z117" s="486">
        <f t="shared" si="9"/>
        <v>3.0835678364023558</v>
      </c>
      <c r="AA117" s="487">
        <f>C117*'4C2 Open-burning '!$C$10*'4C2 Open-burning '!$C$11*$C$5*C$15</f>
        <v>8.2624962752048513E-3</v>
      </c>
      <c r="AB117" s="487">
        <f>D117*'4C2 Open-burning '!$C$10*'4C2 Open-burning '!$C$11*$C$5*D$15</f>
        <v>8.629394301104527E-3</v>
      </c>
      <c r="AC117" s="487">
        <f>E117*'4C2 Open-burning '!$C$10*'4C2 Open-burning '!$C$11*$C$5*E$15</f>
        <v>5.3031364919302005E-3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2.073344169819186E-2</v>
      </c>
      <c r="AH117" s="488">
        <f t="shared" si="10"/>
        <v>4.2928468766431443E-2</v>
      </c>
      <c r="AI117" s="1387"/>
      <c r="AJ117" s="1386"/>
      <c r="AK117" s="1387"/>
    </row>
    <row r="118" spans="1:37">
      <c r="A118" s="489">
        <f>'Input data'!A147</f>
        <v>2047</v>
      </c>
      <c r="B118" s="122">
        <f>'Recycling - Case 1'!AP127</f>
        <v>4.0692713706057433E-2</v>
      </c>
      <c r="C118" s="527">
        <f>$B118*'Recycling - Case 1'!BM127*'Recycling - Case 1'!$AK127</f>
        <v>213.21692001177161</v>
      </c>
      <c r="D118" s="528">
        <f>$B118*'Recycling - Case 1'!BN127*'Recycling - Case 1'!$AK127</f>
        <v>222.68486582803615</v>
      </c>
      <c r="E118" s="528">
        <f>$B118*'Recycling - Case 1'!BO127*'Recycling - Case 1'!$AK127</f>
        <v>60.821997052154906</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237.79311201350251</v>
      </c>
      <c r="J118" s="744">
        <f t="shared" si="11"/>
        <v>734.51689490546516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0.32130071450759556</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8.1924482950891875</v>
      </c>
      <c r="R118" s="1378">
        <f t="shared" si="8"/>
        <v>8.5137490095967827</v>
      </c>
      <c r="S118" s="485">
        <f>C118*'4C2 Open-burning '!$C$9*'4C2 Open-burning '!$C$11*$C$5</f>
        <v>0.83154598804590918</v>
      </c>
      <c r="T118" s="485">
        <f>D118*'4C2 Open-burning '!$C$9*'4C2 Open-burning '!$C$11*$C$5</f>
        <v>0.86847097672934093</v>
      </c>
      <c r="U118" s="485">
        <f>E118*'4C2 Open-burning '!$C$9*'4C2 Open-burning '!$C$11*$C$5</f>
        <v>0.23720578850340412</v>
      </c>
      <c r="V118" s="485">
        <f>F118*'4C2 Open-burning '!$C$9*'4C2 Open-burning '!$C$11*$C$5</f>
        <v>0</v>
      </c>
      <c r="W118" s="485">
        <f>G118*'4C2 Open-burning '!$C$9*'4C2 Open-burning '!$C$11*$C$5</f>
        <v>0</v>
      </c>
      <c r="X118" s="485">
        <f>H118*'4C2 Open-burning '!$C$9*'4C2 Open-burning '!$C$11*$C$5</f>
        <v>0</v>
      </c>
      <c r="Y118" s="485">
        <f>I118*'4C2 Open-burning '!$C$9*'4C2 Open-burning '!$C$11*$C$5</f>
        <v>0.92739313685265967</v>
      </c>
      <c r="Z118" s="486">
        <f t="shared" si="9"/>
        <v>2.8646158901313141</v>
      </c>
      <c r="AA118" s="487">
        <f>C118*'4C2 Open-burning '!$C$10*'4C2 Open-burning '!$C$11*$C$5*C$15</f>
        <v>7.6758091204237773E-3</v>
      </c>
      <c r="AB118" s="487">
        <f>D118*'4C2 Open-burning '!$C$10*'4C2 Open-burning '!$C$11*$C$5*D$15</f>
        <v>8.0166551698093013E-3</v>
      </c>
      <c r="AC118" s="487">
        <f>E118*'4C2 Open-burning '!$C$10*'4C2 Open-burning '!$C$11*$C$5*E$15</f>
        <v>4.926581761224548E-3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1.9261242073093703E-2</v>
      </c>
      <c r="AH118" s="488">
        <f t="shared" si="10"/>
        <v>3.9880288124551327E-2</v>
      </c>
      <c r="AI118" s="1387"/>
      <c r="AJ118" s="1386"/>
      <c r="AK118" s="1387"/>
    </row>
    <row r="119" spans="1:37">
      <c r="A119" s="489">
        <f>'Input data'!A148</f>
        <v>2048</v>
      </c>
      <c r="B119" s="122">
        <f>'Recycling - Case 1'!AP128</f>
        <v>4.0541889772564364E-2</v>
      </c>
      <c r="C119" s="527">
        <f>$B119*'Recycling - Case 1'!BM128*'Recycling - Case 1'!$AK128</f>
        <v>212.93483836537837</v>
      </c>
      <c r="D119" s="528">
        <f>$B119*'Recycling - Case 1'!BN128*'Recycling - Case 1'!$AK128</f>
        <v>222.39025828199263</v>
      </c>
      <c r="E119" s="528">
        <f>$B119*'Recycling - Case 1'!BO128*'Recycling - Case 1'!$AK128</f>
        <v>60.741530787730646</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237.47851656519555</v>
      </c>
      <c r="J119" s="744">
        <f t="shared" si="11"/>
        <v>733.54514400029711</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0.32087564020049741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8.181609852704117</v>
      </c>
      <c r="R119" s="1378">
        <f t="shared" si="8"/>
        <v>8.502485492904615</v>
      </c>
      <c r="S119" s="485">
        <f>C119*'4C2 Open-burning '!$C$9*'4C2 Open-burning '!$C$11*$C$5</f>
        <v>0.83044586962497557</v>
      </c>
      <c r="T119" s="485">
        <f>D119*'4C2 Open-burning '!$C$9*'4C2 Open-burning '!$C$11*$C$5</f>
        <v>0.86732200729977116</v>
      </c>
      <c r="U119" s="485">
        <f>E119*'4C2 Open-burning '!$C$9*'4C2 Open-burning '!$C$11*$C$5</f>
        <v>0.23689197007214949</v>
      </c>
      <c r="V119" s="485">
        <f>F119*'4C2 Open-burning '!$C$9*'4C2 Open-burning '!$C$11*$C$5</f>
        <v>0</v>
      </c>
      <c r="W119" s="485">
        <f>G119*'4C2 Open-burning '!$C$9*'4C2 Open-burning '!$C$11*$C$5</f>
        <v>0</v>
      </c>
      <c r="X119" s="485">
        <f>H119*'4C2 Open-burning '!$C$9*'4C2 Open-burning '!$C$11*$C$5</f>
        <v>0</v>
      </c>
      <c r="Y119" s="485">
        <f>I119*'4C2 Open-burning '!$C$9*'4C2 Open-burning '!$C$11*$C$5</f>
        <v>0.92616621460426252</v>
      </c>
      <c r="Z119" s="486">
        <f t="shared" si="9"/>
        <v>2.8608260616011587</v>
      </c>
      <c r="AA119" s="487">
        <f>C119*'4C2 Open-burning '!$C$10*'4C2 Open-burning '!$C$11*$C$5*C$15</f>
        <v>7.6656541811536208E-3</v>
      </c>
      <c r="AB119" s="487">
        <f>D119*'4C2 Open-burning '!$C$10*'4C2 Open-burning '!$C$11*$C$5*D$15</f>
        <v>8.0060492981517337E-3</v>
      </c>
      <c r="AC119" s="487">
        <f>E119*'4C2 Open-burning '!$C$10*'4C2 Open-burning '!$C$11*$C$5*E$15</f>
        <v>4.920063993806182E-3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1.9235759841780841E-2</v>
      </c>
      <c r="AH119" s="488">
        <f t="shared" si="10"/>
        <v>3.9827527314892378E-2</v>
      </c>
      <c r="AI119" s="1387"/>
      <c r="AJ119" s="1386"/>
      <c r="AK119" s="1387"/>
    </row>
    <row r="120" spans="1:37">
      <c r="A120" s="489">
        <f>'Input data'!A149</f>
        <v>2049</v>
      </c>
      <c r="B120" s="122">
        <f>'Recycling - Case 1'!AP129</f>
        <v>4.0391678023508841E-2</v>
      </c>
      <c r="C120" s="527">
        <f>$B120*'Recycling - Case 1'!BM129*'Recycling - Case 1'!$AK129</f>
        <v>212.65492911344788</v>
      </c>
      <c r="D120" s="528">
        <f>$B120*'Recycling - Case 1'!BN129*'Recycling - Case 1'!$AK129</f>
        <v>222.09791959608194</v>
      </c>
      <c r="E120" s="528">
        <f>$B120*'Recycling - Case 1'!BO129*'Recycling - Case 1'!$AK129</f>
        <v>60.661684217885963</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237.16634390978786</v>
      </c>
      <c r="J120" s="744">
        <f t="shared" si="11"/>
        <v>732.58087683720362</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0.32045383951677309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8.170854880380011</v>
      </c>
      <c r="R120" s="1378">
        <f t="shared" si="8"/>
        <v>8.491308719896784</v>
      </c>
      <c r="S120" s="485">
        <f>C120*'4C2 Open-burning '!$C$9*'4C2 Open-burning '!$C$11*$C$5</f>
        <v>0.8293542235424467</v>
      </c>
      <c r="T120" s="485">
        <f>D120*'4C2 Open-burning '!$C$9*'4C2 Open-burning '!$C$11*$C$5</f>
        <v>0.86618188642471949</v>
      </c>
      <c r="U120" s="485">
        <f>E120*'4C2 Open-burning '!$C$9*'4C2 Open-burning '!$C$11*$C$5</f>
        <v>0.23658056844975522</v>
      </c>
      <c r="V120" s="485">
        <f>F120*'4C2 Open-burning '!$C$9*'4C2 Open-burning '!$C$11*$C$5</f>
        <v>0</v>
      </c>
      <c r="W120" s="485">
        <f>G120*'4C2 Open-burning '!$C$9*'4C2 Open-burning '!$C$11*$C$5</f>
        <v>0</v>
      </c>
      <c r="X120" s="485">
        <f>H120*'4C2 Open-burning '!$C$9*'4C2 Open-burning '!$C$11*$C$5</f>
        <v>0</v>
      </c>
      <c r="Y120" s="485">
        <f>I120*'4C2 Open-burning '!$C$9*'4C2 Open-burning '!$C$11*$C$5</f>
        <v>0.9249487412481725</v>
      </c>
      <c r="Z120" s="486">
        <f t="shared" si="9"/>
        <v>2.8570654196650942</v>
      </c>
      <c r="AA120" s="487">
        <f>C120*'4C2 Open-burning '!$C$10*'4C2 Open-burning '!$C$11*$C$5*C$15</f>
        <v>7.6555774480841238E-3</v>
      </c>
      <c r="AB120" s="487">
        <f>D120*'4C2 Open-burning '!$C$10*'4C2 Open-burning '!$C$11*$C$5*D$15</f>
        <v>7.9955251054589487E-3</v>
      </c>
      <c r="AC120" s="487">
        <f>E120*'4C2 Open-burning '!$C$10*'4C2 Open-burning '!$C$11*$C$5*E$15</f>
        <v>4.913596421648762E-3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1.921047385669282E-2</v>
      </c>
      <c r="AH120" s="488">
        <f t="shared" si="10"/>
        <v>3.9775172831884656E-2</v>
      </c>
      <c r="AI120" s="1387"/>
      <c r="AJ120" s="1386"/>
      <c r="AK120" s="1387"/>
    </row>
    <row r="121" spans="1:37" ht="15.75" thickBot="1">
      <c r="A121" s="489">
        <f>'Input data'!A150</f>
        <v>2050</v>
      </c>
      <c r="B121" s="628">
        <f>'Recycling - Case 1'!AP130</f>
        <v>4.0242073404737747E-2</v>
      </c>
      <c r="C121" s="670">
        <f>$B121*'Recycling - Case 1'!BM130*'Recycling - Case 1'!$AK130</f>
        <v>212.37717084377385</v>
      </c>
      <c r="D121" s="667">
        <f>$B121*'Recycling - Case 1'!BN130*'Recycling - Case 1'!$AK130</f>
        <v>221.80782740728392</v>
      </c>
      <c r="E121" s="667">
        <f>$B121*'Recycling - Case 1'!BO130*'Recycling - Case 1'!$AK130</f>
        <v>60.58245123460118</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236.85657016702095</v>
      </c>
      <c r="J121" s="936">
        <f t="shared" si="11"/>
        <v>731.62401965267986</v>
      </c>
      <c r="K121" s="1370">
        <f>'4C2 Open-burning '!C$14*'4C2 Open-burning '!$C$5*'4C2 Open-burning '!$C$6*'4C2 Open-burning '!$C$7*C121</f>
        <v>0</v>
      </c>
      <c r="L121" s="1370">
        <f>'4C2 Open-burning '!D$14*'4C2 Open-burning '!$C$5*'4C2 Open-burning '!$C$6*'4C2 Open-burning '!$C$7*D121</f>
        <v>0</v>
      </c>
      <c r="M121" s="1370">
        <f>'4C2 Open-burning '!E$14*'4C2 Open-burning '!$C$5*'4C2 Open-burning '!$C$6*'4C2 Open-burning '!$C$7*E121</f>
        <v>0.32003528018995359</v>
      </c>
      <c r="N121" s="1370">
        <f>'4C2 Open-burning '!F$14*'4C2 Open-burning '!$C$5*'4C2 Open-burning '!$C$6*'4C2 Open-burning '!$C$7*F121</f>
        <v>0</v>
      </c>
      <c r="O121" s="1370">
        <f>'4C2 Open-burning '!G$14*'4C2 Open-burning '!$C$5*'4C2 Open-burning '!$C$6*'4C2 Open-burning '!$C$7*G121</f>
        <v>0</v>
      </c>
      <c r="P121" s="1370">
        <f>'4C2 Open-burning '!H$14*'4C2 Open-burning '!$C$5*'4C2 Open-burning '!$C$6*'4C2 Open-burning '!$C$7*H121</f>
        <v>0</v>
      </c>
      <c r="Q121" s="1370">
        <f>'4C2 Open-burning '!I$14*'4C2 Open-burning '!$C$5*'4C2 Open-burning '!$C$6*'4C2 Open-burning '!$C$7*I121</f>
        <v>8.1601825553942042</v>
      </c>
      <c r="R121" s="1379">
        <f t="shared" si="8"/>
        <v>8.480217835584158</v>
      </c>
      <c r="S121" s="485">
        <f>C121*'4C2 Open-burning '!$C$9*'4C2 Open-burning '!$C$11*$C$5</f>
        <v>0.82827096629071795</v>
      </c>
      <c r="T121" s="485">
        <f>D121*'4C2 Open-burning '!$C$9*'4C2 Open-burning '!$C$11*$C$5</f>
        <v>0.86505052688840722</v>
      </c>
      <c r="U121" s="485">
        <f>E121*'4C2 Open-burning '!$C$9*'4C2 Open-burning '!$C$11*$C$5</f>
        <v>0.23627155981494458</v>
      </c>
      <c r="V121" s="485">
        <f>F121*'4C2 Open-burning '!$C$9*'4C2 Open-burning '!$C$11*$C$5</f>
        <v>0</v>
      </c>
      <c r="W121" s="485">
        <f>G121*'4C2 Open-burning '!$C$9*'4C2 Open-burning '!$C$11*$C$5</f>
        <v>0</v>
      </c>
      <c r="X121" s="485">
        <f>H121*'4C2 Open-burning '!$C$9*'4C2 Open-burning '!$C$11*$C$5</f>
        <v>0</v>
      </c>
      <c r="Y121" s="485">
        <f>I121*'4C2 Open-burning '!$C$9*'4C2 Open-burning '!$C$11*$C$5</f>
        <v>0.92374062365138143</v>
      </c>
      <c r="Z121" s="486">
        <f t="shared" si="9"/>
        <v>2.8533336766454509</v>
      </c>
      <c r="AA121" s="487">
        <f>C121*'4C2 Open-burning '!$C$10*'4C2 Open-burning '!$C$11*$C$5*C$15</f>
        <v>7.6455781503758577E-3</v>
      </c>
      <c r="AB121" s="487">
        <f>D121*'4C2 Open-burning '!$C$10*'4C2 Open-burning '!$C$11*$C$5*D$15</f>
        <v>7.9850817866622213E-3</v>
      </c>
      <c r="AC121" s="487">
        <f>E121*'4C2 Open-burning '!$C$10*'4C2 Open-burning '!$C$11*$C$5*E$15</f>
        <v>4.9071785500026952E-3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1.9185382183528693E-2</v>
      </c>
      <c r="AH121" s="493">
        <f t="shared" si="10"/>
        <v>3.9723220670569465E-2</v>
      </c>
      <c r="AI121" s="1387"/>
      <c r="AJ121" s="1386"/>
      <c r="AK121" s="1387"/>
    </row>
    <row r="122" spans="1:37" ht="21.75" thickBot="1">
      <c r="A122" s="950" t="s">
        <v>621</v>
      </c>
      <c r="B122" s="797"/>
      <c r="C122" s="528"/>
      <c r="D122" s="938"/>
      <c r="E122" s="938"/>
      <c r="F122" s="938"/>
      <c r="G122" s="938"/>
      <c r="H122" s="938"/>
      <c r="I122" s="938"/>
      <c r="J122" s="939"/>
      <c r="K122" s="1370"/>
      <c r="L122" s="1370"/>
      <c r="M122" s="1370"/>
      <c r="N122" s="1370"/>
      <c r="O122" s="1370"/>
      <c r="P122" s="1370"/>
      <c r="Q122" s="1370"/>
      <c r="R122" s="1371"/>
      <c r="S122" s="944"/>
      <c r="T122" s="944"/>
      <c r="U122" s="944"/>
      <c r="V122" s="944"/>
      <c r="W122" s="944"/>
      <c r="X122" s="944"/>
      <c r="Y122" s="944"/>
      <c r="Z122" s="945"/>
      <c r="AA122" s="946"/>
      <c r="AB122" s="946"/>
      <c r="AC122" s="946"/>
      <c r="AD122" s="946"/>
      <c r="AE122" s="946"/>
      <c r="AF122" s="946"/>
      <c r="AG122" s="946"/>
      <c r="AH122" s="947"/>
      <c r="AI122" s="1387"/>
      <c r="AJ122" s="1386"/>
      <c r="AK122" s="1387"/>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0">
        <f>'4C2 Open-burning '!C$14*'4C2 Open-burning '!$C$5*'4C2 Open-burning '!$C$6*'4C2 Open-burning '!$C$7*C123</f>
        <v>0</v>
      </c>
      <c r="L123" s="1380">
        <f>'4C2 Open-burning '!D$14*'4C2 Open-burning '!$C$5*'4C2 Open-burning '!$C$6*'4C2 Open-burning '!$C$7*D123</f>
        <v>0</v>
      </c>
      <c r="M123" s="1380">
        <f>'4C2 Open-burning '!E$14*'4C2 Open-burning '!$C$5*'4C2 Open-burning '!$C$6*'4C2 Open-burning '!$C$7*E123</f>
        <v>1.2422577936755286</v>
      </c>
      <c r="N123" s="1380">
        <f>'4C2 Open-burning '!F$14*'4C2 Open-burning '!$C$5*'4C2 Open-burning '!$C$6*'4C2 Open-burning '!$C$7*F123</f>
        <v>0</v>
      </c>
      <c r="O123" s="1380">
        <f>'4C2 Open-burning '!G$14*'4C2 Open-burning '!$C$5*'4C2 Open-burning '!$C$6*'4C2 Open-burning '!$C$7*G123</f>
        <v>0</v>
      </c>
      <c r="P123" s="1380">
        <f>'4C2 Open-burning '!H$14*'4C2 Open-burning '!$C$5*'4C2 Open-burning '!$C$6*'4C2 Open-burning '!$C$7*H123</f>
        <v>0</v>
      </c>
      <c r="Q123" s="1380">
        <f>'4C2 Open-burning '!I$14*'4C2 Open-burning '!$C$5*'4C2 Open-burning '!$C$6*'4C2 Open-burning '!$C$7*I123</f>
        <v>31.674790264488351</v>
      </c>
      <c r="R123" s="1381">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7"/>
      <c r="AJ123" s="1386"/>
      <c r="AK123" s="1387"/>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2">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7"/>
      <c r="AJ124" s="1386"/>
      <c r="AK124" s="1387"/>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2">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7"/>
      <c r="AJ125" s="1386"/>
      <c r="AK125" s="1387"/>
    </row>
    <row r="126" spans="1:37">
      <c r="A126" s="157">
        <f>'Input data'!A121</f>
        <v>2021</v>
      </c>
      <c r="B126" s="417">
        <f>'Recycling - Case 2'!AP101</f>
        <v>0.108632640688443</v>
      </c>
      <c r="C126" s="527">
        <f>'Recycling - Case 2'!$AK101*'Recycling - Case 2'!BM101*'4C2 Open-burning '!$B126</f>
        <v>724.54347859846757</v>
      </c>
      <c r="D126" s="528">
        <f>'Recycling - Case 2'!$AK101*'Recycling - Case 2'!BN101*'4C2 Open-burning '!$B126</f>
        <v>756.71699651871234</v>
      </c>
      <c r="E126" s="528">
        <f>'Recycling - Case 2'!$AK101*'Recycling - Case 2'!BO101*'4C2 Open-burning '!$B126</f>
        <v>206.68238391700373</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808.05711176911302</v>
      </c>
      <c r="J126" s="744">
        <f t="shared" si="12"/>
        <v>2495.9999708032965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1.0918286285753205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27.83918361466948</v>
      </c>
      <c r="R126" s="1382">
        <f t="shared" si="8"/>
        <v>28.931012243244801</v>
      </c>
      <c r="S126" s="485">
        <f>C126*'4C2 Open-burning '!$C$9*'4C2 Open-burning '!$C$11*$C$5</f>
        <v>2.8257195665340236</v>
      </c>
      <c r="T126" s="485">
        <f>D126*'4C2 Open-burning '!$C$9*'4C2 Open-burning '!$C$11*$C$5</f>
        <v>2.9511962864229782</v>
      </c>
      <c r="U126" s="485">
        <f>E126*'4C2 Open-burning '!$C$9*'4C2 Open-burning '!$C$11*$C$5</f>
        <v>0.80606129727631448</v>
      </c>
      <c r="V126" s="485">
        <f>F126*'4C2 Open-burning '!$C$9*'4C2 Open-burning '!$C$11*$C$5</f>
        <v>0</v>
      </c>
      <c r="W126" s="485">
        <f>G126*'4C2 Open-burning '!$C$9*'4C2 Open-burning '!$C$11*$C$5</f>
        <v>0</v>
      </c>
      <c r="X126" s="485">
        <f>H126*'4C2 Open-burning '!$C$9*'4C2 Open-burning '!$C$11*$C$5</f>
        <v>0</v>
      </c>
      <c r="Y126" s="485">
        <f>I126*'4C2 Open-burning '!$C$9*'4C2 Open-burning '!$C$11*$C$5</f>
        <v>3.1514227358995401</v>
      </c>
      <c r="Z126" s="486">
        <f t="shared" si="9"/>
        <v>9.7343998861328558</v>
      </c>
      <c r="AA126" s="487">
        <f>C126*'4C2 Open-burning '!$C$10*'4C2 Open-burning '!$C$11*$C$5*C$15</f>
        <v>2.6083565229544831E-2</v>
      </c>
      <c r="AB126" s="487">
        <f>D126*'4C2 Open-burning '!$C$10*'4C2 Open-burning '!$C$11*$C$5*D$15</f>
        <v>2.7241811874673644E-2</v>
      </c>
      <c r="AC126" s="487">
        <f>E126*'4C2 Open-burning '!$C$10*'4C2 Open-burning '!$C$11*$C$5*E$15</f>
        <v>1.6741273097277302E-2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6.5452626053298144E-2</v>
      </c>
      <c r="AH126" s="488">
        <f t="shared" si="10"/>
        <v>0.13551927625479393</v>
      </c>
      <c r="AI126" s="1387"/>
      <c r="AJ126" s="1386"/>
      <c r="AK126" s="1387"/>
    </row>
    <row r="127" spans="1:37">
      <c r="A127" s="157">
        <f>'Input data'!A122</f>
        <v>2022</v>
      </c>
      <c r="B127" s="417">
        <f>'Recycling - Case 2'!AP102</f>
        <v>9.5787234273176591E-2</v>
      </c>
      <c r="C127" s="527">
        <f>'Recycling - Case 2'!$AK102*'Recycling - Case 2'!BM102*'4C2 Open-burning '!$B127</f>
        <v>603.00531989916851</v>
      </c>
      <c r="D127" s="528">
        <f>'Recycling - Case 2'!$AK102*'Recycling - Case 2'!BN102*'4C2 Open-burning '!$B127</f>
        <v>629.78190824595356</v>
      </c>
      <c r="E127" s="528">
        <f>'Recycling - Case 2'!$AK102*'Recycling - Case 2'!BO102*'4C2 Open-burning '!$B127</f>
        <v>172.01255785570908</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672.51000329431815</v>
      </c>
      <c r="J127" s="744">
        <f t="shared" si="12"/>
        <v>2077.3097892951491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0.908680418630883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23.169314633495848</v>
      </c>
      <c r="R127" s="1382">
        <f t="shared" si="8"/>
        <v>24.077995052126731</v>
      </c>
      <c r="S127" s="485">
        <f>C127*'4C2 Open-burning '!$C$9*'4C2 Open-burning '!$C$11*$C$5</f>
        <v>2.3517207476067568</v>
      </c>
      <c r="T127" s="485">
        <f>D127*'4C2 Open-burning '!$C$9*'4C2 Open-burning '!$C$11*$C$5</f>
        <v>2.4561494421592189</v>
      </c>
      <c r="U127" s="485">
        <f>E127*'4C2 Open-burning '!$C$9*'4C2 Open-burning '!$C$11*$C$5</f>
        <v>0.67084897563726531</v>
      </c>
      <c r="V127" s="485">
        <f>F127*'4C2 Open-burning '!$C$9*'4C2 Open-burning '!$C$11*$C$5</f>
        <v>0</v>
      </c>
      <c r="W127" s="485">
        <f>G127*'4C2 Open-burning '!$C$9*'4C2 Open-burning '!$C$11*$C$5</f>
        <v>0</v>
      </c>
      <c r="X127" s="485">
        <f>H127*'4C2 Open-burning '!$C$9*'4C2 Open-burning '!$C$11*$C$5</f>
        <v>0</v>
      </c>
      <c r="Y127" s="485">
        <f>I127*'4C2 Open-burning '!$C$9*'4C2 Open-burning '!$C$11*$C$5</f>
        <v>2.6227890128478406</v>
      </c>
      <c r="Z127" s="486">
        <f t="shared" si="9"/>
        <v>8.1015081782510823</v>
      </c>
      <c r="AA127" s="487">
        <f>C127*'4C2 Open-burning '!$C$10*'4C2 Open-burning '!$C$11*$C$5*C$15</f>
        <v>2.1708191516370063E-2</v>
      </c>
      <c r="AB127" s="487">
        <f>D127*'4C2 Open-burning '!$C$10*'4C2 Open-burning '!$C$11*$C$5*D$15</f>
        <v>2.2672148696854327E-2</v>
      </c>
      <c r="AC127" s="487">
        <f>E127*'4C2 Open-burning '!$C$10*'4C2 Open-burning '!$C$11*$C$5*E$15</f>
        <v>1.3933017186312433E-2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5.4473310266839763E-2</v>
      </c>
      <c r="AH127" s="488">
        <f t="shared" si="10"/>
        <v>0.11278666766637657</v>
      </c>
      <c r="AI127" s="1387"/>
      <c r="AJ127" s="1386"/>
      <c r="AK127" s="1387"/>
    </row>
    <row r="128" spans="1:37">
      <c r="A128" s="157">
        <f>'Input data'!A123</f>
        <v>2023</v>
      </c>
      <c r="B128" s="417">
        <f>'Recycling - Case 2'!AP103</f>
        <v>9.1876256960619254E-2</v>
      </c>
      <c r="C128" s="527">
        <f>'Recycling - Case 2'!$AK103*'Recycling - Case 2'!BM103*'4C2 Open-burning '!$B128</f>
        <v>571.86877898847069</v>
      </c>
      <c r="D128" s="528">
        <f>'Recycling - Case 2'!$AK103*'Recycling - Case 2'!BN103*'4C2 Open-burning '!$B128</f>
        <v>597.26274215601518</v>
      </c>
      <c r="E128" s="528">
        <f>'Recycling - Case 2'!$AK103*'Recycling - Case 2'!BO103*'4C2 Open-burning '!$B128</f>
        <v>163.1305863903103</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637.78454642118731</v>
      </c>
      <c r="J128" s="744">
        <f t="shared" si="12"/>
        <v>1970.0466539559834</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0.86176016088890883</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21.972953193302743</v>
      </c>
      <c r="R128" s="1382">
        <f t="shared" si="8"/>
        <v>22.834713354191653</v>
      </c>
      <c r="S128" s="485">
        <f>C128*'4C2 Open-burning '!$C$9*'4C2 Open-burning '!$C$11*$C$5</f>
        <v>2.2302882380550355</v>
      </c>
      <c r="T128" s="485">
        <f>D128*'4C2 Open-burning '!$C$9*'4C2 Open-burning '!$C$11*$C$5</f>
        <v>2.3293246944084589</v>
      </c>
      <c r="U128" s="485">
        <f>E128*'4C2 Open-burning '!$C$9*'4C2 Open-burning '!$C$11*$C$5</f>
        <v>0.63620928692221002</v>
      </c>
      <c r="V128" s="485">
        <f>F128*'4C2 Open-burning '!$C$9*'4C2 Open-burning '!$C$11*$C$5</f>
        <v>0</v>
      </c>
      <c r="W128" s="485">
        <f>G128*'4C2 Open-burning '!$C$9*'4C2 Open-burning '!$C$11*$C$5</f>
        <v>0</v>
      </c>
      <c r="X128" s="485">
        <f>H128*'4C2 Open-burning '!$C$9*'4C2 Open-burning '!$C$11*$C$5</f>
        <v>0</v>
      </c>
      <c r="Y128" s="485">
        <f>I128*'4C2 Open-burning '!$C$9*'4C2 Open-burning '!$C$11*$C$5</f>
        <v>2.4873597310426305</v>
      </c>
      <c r="Z128" s="486">
        <f t="shared" si="9"/>
        <v>7.6831819504283345</v>
      </c>
      <c r="AA128" s="487">
        <f>C128*'4C2 Open-burning '!$C$10*'4C2 Open-burning '!$C$11*$C$5*C$15</f>
        <v>2.0587276043584943E-2</v>
      </c>
      <c r="AB128" s="487">
        <f>D128*'4C2 Open-burning '!$C$10*'4C2 Open-burning '!$C$11*$C$5*D$15</f>
        <v>2.1501458717616547E-2</v>
      </c>
      <c r="AC128" s="487">
        <f>E128*'4C2 Open-burning '!$C$10*'4C2 Open-burning '!$C$11*$C$5*E$15</f>
        <v>1.3213577497615132E-2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5.1660548260116172E-2</v>
      </c>
      <c r="AH128" s="488">
        <f t="shared" si="10"/>
        <v>0.10696286051893281</v>
      </c>
      <c r="AI128" s="1387"/>
      <c r="AJ128" s="1386"/>
      <c r="AK128" s="1387"/>
    </row>
    <row r="129" spans="1:37">
      <c r="A129" s="157">
        <f>'Input data'!A124</f>
        <v>2024</v>
      </c>
      <c r="B129" s="417">
        <f>'Recycling - Case 2'!AP104</f>
        <v>8.7781424771145714E-2</v>
      </c>
      <c r="C129" s="527">
        <f>'Recycling - Case 2'!$AK104*'Recycling - Case 2'!BM104*'4C2 Open-burning '!$B129</f>
        <v>540.19890619267005</v>
      </c>
      <c r="D129" s="528">
        <f>'Recycling - Case 2'!$AK104*'Recycling - Case 2'!BN104*'4C2 Open-burning '!$B129</f>
        <v>564.18656145734235</v>
      </c>
      <c r="E129" s="528">
        <f>'Recycling - Case 2'!$AK104*'Recycling - Case 2'!BO104*'4C2 Open-burning '!$B129</f>
        <v>154.09647732559836</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602.4642838042738</v>
      </c>
      <c r="J129" s="744">
        <f t="shared" si="12"/>
        <v>1860.9462287798842</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0.8140362149792989</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20.756099505624839</v>
      </c>
      <c r="R129" s="1382">
        <f t="shared" si="8"/>
        <v>21.570135720604139</v>
      </c>
      <c r="S129" s="485">
        <f>C129*'4C2 Open-burning '!$C$9*'4C2 Open-burning '!$C$11*$C$5</f>
        <v>2.1067757341514133</v>
      </c>
      <c r="T129" s="485">
        <f>D129*'4C2 Open-burning '!$C$9*'4C2 Open-burning '!$C$11*$C$5</f>
        <v>2.200327589683635</v>
      </c>
      <c r="U129" s="485">
        <f>E129*'4C2 Open-burning '!$C$9*'4C2 Open-burning '!$C$11*$C$5</f>
        <v>0.60097626156983353</v>
      </c>
      <c r="V129" s="485">
        <f>F129*'4C2 Open-burning '!$C$9*'4C2 Open-burning '!$C$11*$C$5</f>
        <v>0</v>
      </c>
      <c r="W129" s="485">
        <f>G129*'4C2 Open-burning '!$C$9*'4C2 Open-burning '!$C$11*$C$5</f>
        <v>0</v>
      </c>
      <c r="X129" s="485">
        <f>H129*'4C2 Open-burning '!$C$9*'4C2 Open-burning '!$C$11*$C$5</f>
        <v>0</v>
      </c>
      <c r="Y129" s="485">
        <f>I129*'4C2 Open-burning '!$C$9*'4C2 Open-burning '!$C$11*$C$5</f>
        <v>2.3496107068366676</v>
      </c>
      <c r="Z129" s="486">
        <f t="shared" si="9"/>
        <v>7.2576902922415494</v>
      </c>
      <c r="AA129" s="487">
        <f>C129*'4C2 Open-burning '!$C$10*'4C2 Open-burning '!$C$11*$C$5*C$15</f>
        <v>1.9447160622936121E-2</v>
      </c>
      <c r="AB129" s="487">
        <f>D129*'4C2 Open-burning '!$C$10*'4C2 Open-burning '!$C$11*$C$5*D$15</f>
        <v>2.0310716212464323E-2</v>
      </c>
      <c r="AC129" s="487">
        <f>E129*'4C2 Open-burning '!$C$10*'4C2 Open-burning '!$C$11*$C$5*E$15</f>
        <v>1.2481814663373466E-2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4.8799606988146178E-2</v>
      </c>
      <c r="AH129" s="488">
        <f t="shared" si="10"/>
        <v>0.10103929848692009</v>
      </c>
      <c r="AI129" s="1387"/>
      <c r="AJ129" s="1386"/>
      <c r="AK129" s="1387"/>
    </row>
    <row r="130" spans="1:37">
      <c r="A130" s="157">
        <f>'Input data'!A125</f>
        <v>2025</v>
      </c>
      <c r="B130" s="417">
        <f>'Recycling - Case 2'!AP105</f>
        <v>8.3494201429216791E-2</v>
      </c>
      <c r="C130" s="527">
        <f>'Recycling - Case 2'!$AK105*'Recycling - Case 2'!BM105*'4C2 Open-burning '!$B130</f>
        <v>507.97627512742508</v>
      </c>
      <c r="D130" s="528">
        <f>'Recycling - Case 2'!$AK105*'Recycling - Case 2'!BN105*'4C2 Open-burning '!$B130</f>
        <v>530.53307713257948</v>
      </c>
      <c r="E130" s="528">
        <f>'Recycling - Case 2'!$AK105*'Recycling - Case 2'!BO105*'4C2 Open-burning '!$B130</f>
        <v>144.90468911500608</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566.52754990039546</v>
      </c>
      <c r="J130" s="744">
        <f t="shared" si="12"/>
        <v>1749.9415912754062</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0.76547930690649568</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19.518007149168422</v>
      </c>
      <c r="R130" s="1382">
        <f t="shared" si="8"/>
        <v>20.283486456074918</v>
      </c>
      <c r="S130" s="485">
        <f>C130*'4C2 Open-burning '!$C$9*'4C2 Open-burning '!$C$11*$C$5</f>
        <v>1.9811074729969576</v>
      </c>
      <c r="T130" s="485">
        <f>D130*'4C2 Open-burning '!$C$9*'4C2 Open-burning '!$C$11*$C$5</f>
        <v>2.0690790008170601</v>
      </c>
      <c r="U130" s="485">
        <f>E130*'4C2 Open-burning '!$C$9*'4C2 Open-burning '!$C$11*$C$5</f>
        <v>0.56512828754852362</v>
      </c>
      <c r="V130" s="485">
        <f>F130*'4C2 Open-burning '!$C$9*'4C2 Open-burning '!$C$11*$C$5</f>
        <v>0</v>
      </c>
      <c r="W130" s="485">
        <f>G130*'4C2 Open-burning '!$C$9*'4C2 Open-burning '!$C$11*$C$5</f>
        <v>0</v>
      </c>
      <c r="X130" s="485">
        <f>H130*'4C2 Open-burning '!$C$9*'4C2 Open-burning '!$C$11*$C$5</f>
        <v>0</v>
      </c>
      <c r="Y130" s="485">
        <f>I130*'4C2 Open-burning '!$C$9*'4C2 Open-burning '!$C$11*$C$5</f>
        <v>2.2094574446115423</v>
      </c>
      <c r="Z130" s="486">
        <f t="shared" si="9"/>
        <v>6.8247722059740834</v>
      </c>
      <c r="AA130" s="487">
        <f>C130*'4C2 Open-burning '!$C$10*'4C2 Open-burning '!$C$11*$C$5*C$15</f>
        <v>1.8287145904587302E-2</v>
      </c>
      <c r="AB130" s="487">
        <f>D130*'4C2 Open-burning '!$C$10*'4C2 Open-burning '!$C$11*$C$5*D$15</f>
        <v>1.9099190776772856E-2</v>
      </c>
      <c r="AC130" s="487">
        <f>E130*'4C2 Open-burning '!$C$10*'4C2 Open-burning '!$C$11*$C$5*E$15</f>
        <v>1.1737279818315492E-2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4.5888731541932036E-2</v>
      </c>
      <c r="AH130" s="488">
        <f t="shared" si="10"/>
        <v>9.5012348041607686E-2</v>
      </c>
      <c r="AI130" s="1387"/>
      <c r="AJ130" s="1386"/>
      <c r="AK130" s="1387"/>
    </row>
    <row r="131" spans="1:37">
      <c r="A131" s="157">
        <f>'Input data'!A126</f>
        <v>2026</v>
      </c>
      <c r="B131" s="417">
        <f>'Recycling - Case 2'!AP106</f>
        <v>7.9101611218796483E-2</v>
      </c>
      <c r="C131" s="527">
        <f>'Recycling - Case 2'!$AK106*'Recycling - Case 2'!BM106*'4C2 Open-burning '!$B131</f>
        <v>475.46190657561885</v>
      </c>
      <c r="D131" s="528">
        <f>'Recycling - Case 2'!$AK106*'Recycling - Case 2'!BN106*'4C2 Open-burning '!$B131</f>
        <v>496.57490065182662</v>
      </c>
      <c r="E131" s="528">
        <f>'Recycling - Case 2'!$AK106*'Recycling - Case 2'!BO106*'4C2 Open-burning '!$B131</f>
        <v>135.62968022686786</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530.26545173923125</v>
      </c>
      <c r="J131" s="744">
        <f t="shared" si="12"/>
        <v>1637.9319391935446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0.71648277395366122</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18.268705343319994</v>
      </c>
      <c r="R131" s="1382">
        <f t="shared" si="8"/>
        <v>18.985188117273655</v>
      </c>
      <c r="S131" s="485">
        <f>C131*'4C2 Open-burning '!$C$9*'4C2 Open-burning '!$C$11*$C$5</f>
        <v>1.8543014356449135</v>
      </c>
      <c r="T131" s="485">
        <f>D131*'4C2 Open-burning '!$C$9*'4C2 Open-burning '!$C$11*$C$5</f>
        <v>1.9366421125421234</v>
      </c>
      <c r="U131" s="485">
        <f>E131*'4C2 Open-burning '!$C$9*'4C2 Open-burning '!$C$11*$C$5</f>
        <v>0.52895575288478458</v>
      </c>
      <c r="V131" s="485">
        <f>F131*'4C2 Open-burning '!$C$9*'4C2 Open-burning '!$C$11*$C$5</f>
        <v>0</v>
      </c>
      <c r="W131" s="485">
        <f>G131*'4C2 Open-burning '!$C$9*'4C2 Open-burning '!$C$11*$C$5</f>
        <v>0</v>
      </c>
      <c r="X131" s="485">
        <f>H131*'4C2 Open-burning '!$C$9*'4C2 Open-burning '!$C$11*$C$5</f>
        <v>0</v>
      </c>
      <c r="Y131" s="485">
        <f>I131*'4C2 Open-burning '!$C$9*'4C2 Open-burning '!$C$11*$C$5</f>
        <v>2.0680352617830016</v>
      </c>
      <c r="Z131" s="486">
        <f t="shared" si="9"/>
        <v>6.3879345628548228</v>
      </c>
      <c r="AA131" s="487">
        <f>C131*'4C2 Open-burning '!$C$10*'4C2 Open-burning '!$C$11*$C$5*C$15</f>
        <v>1.7116628636722277E-2</v>
      </c>
      <c r="AB131" s="487">
        <f>D131*'4C2 Open-burning '!$C$10*'4C2 Open-burning '!$C$11*$C$5*D$15</f>
        <v>1.7876696423465756E-2</v>
      </c>
      <c r="AC131" s="487">
        <f>E131*'4C2 Open-burning '!$C$10*'4C2 Open-burning '!$C$11*$C$5*E$15</f>
        <v>1.0986004098376296E-2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4.2951501590877732E-2</v>
      </c>
      <c r="AH131" s="488">
        <f t="shared" si="10"/>
        <v>8.8930830749442052E-2</v>
      </c>
      <c r="AI131" s="1387"/>
      <c r="AJ131" s="1386"/>
      <c r="AK131" s="1387"/>
    </row>
    <row r="132" spans="1:37">
      <c r="A132" s="157">
        <f>'Input data'!A127</f>
        <v>2027</v>
      </c>
      <c r="B132" s="417">
        <f>'Recycling - Case 2'!AP107</f>
        <v>7.4490877934688157E-2</v>
      </c>
      <c r="C132" s="527">
        <f>'Recycling - Case 2'!$AK107*'Recycling - Case 2'!BM107*'4C2 Open-burning '!$B132</f>
        <v>442.31360987420572</v>
      </c>
      <c r="D132" s="528">
        <f>'Recycling - Case 2'!$AK107*'Recycling - Case 2'!BN107*'4C2 Open-burning '!$B132</f>
        <v>461.95464629783544</v>
      </c>
      <c r="E132" s="528">
        <f>'Recycling - Case 2'!$AK107*'Recycling - Case 2'!BO107*'4C2 Open-burning '!$B132</f>
        <v>126.17383777240411</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493.29635646226745</v>
      </c>
      <c r="J132" s="744">
        <f t="shared" si="12"/>
        <v>1523.7384504067127</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0.66653096237001286</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16.995046072838036</v>
      </c>
      <c r="R132" s="1382">
        <f t="shared" si="8"/>
        <v>17.661577035208047</v>
      </c>
      <c r="S132" s="485">
        <f>C132*'4C2 Open-burning '!$C$9*'4C2 Open-burning '!$C$11*$C$5</f>
        <v>1.7250230785094021</v>
      </c>
      <c r="T132" s="485">
        <f>D132*'4C2 Open-burning '!$C$9*'4C2 Open-burning '!$C$11*$C$5</f>
        <v>1.801623120561558</v>
      </c>
      <c r="U132" s="485">
        <f>E132*'4C2 Open-burning '!$C$9*'4C2 Open-burning '!$C$11*$C$5</f>
        <v>0.49207796731237596</v>
      </c>
      <c r="V132" s="485">
        <f>F132*'4C2 Open-burning '!$C$9*'4C2 Open-burning '!$C$11*$C$5</f>
        <v>0</v>
      </c>
      <c r="W132" s="485">
        <f>G132*'4C2 Open-burning '!$C$9*'4C2 Open-burning '!$C$11*$C$5</f>
        <v>0</v>
      </c>
      <c r="X132" s="485">
        <f>H132*'4C2 Open-burning '!$C$9*'4C2 Open-burning '!$C$11*$C$5</f>
        <v>0</v>
      </c>
      <c r="Y132" s="485">
        <f>I132*'4C2 Open-burning '!$C$9*'4C2 Open-burning '!$C$11*$C$5</f>
        <v>1.9238557902028428</v>
      </c>
      <c r="Z132" s="486">
        <f t="shared" si="9"/>
        <v>5.9425799565861794</v>
      </c>
      <c r="AA132" s="487">
        <f>C132*'4C2 Open-burning '!$C$10*'4C2 Open-burning '!$C$11*$C$5*C$15</f>
        <v>1.5923289955471404E-2</v>
      </c>
      <c r="AB132" s="487">
        <f>D132*'4C2 Open-burning '!$C$10*'4C2 Open-burning '!$C$11*$C$5*D$15</f>
        <v>1.6630367266722075E-2</v>
      </c>
      <c r="AC132" s="487">
        <f>E132*'4C2 Open-burning '!$C$10*'4C2 Open-burning '!$C$11*$C$5*E$15</f>
        <v>1.0220080859564733E-2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3.9957004873443669E-2</v>
      </c>
      <c r="AH132" s="488">
        <f t="shared" si="10"/>
        <v>8.2730742955201886E-2</v>
      </c>
      <c r="AI132" s="1387"/>
      <c r="AJ132" s="1386"/>
      <c r="AK132" s="1387"/>
    </row>
    <row r="133" spans="1:37">
      <c r="A133" s="157">
        <f>'Input data'!A128</f>
        <v>2028</v>
      </c>
      <c r="B133" s="417">
        <f>'Recycling - Case 2'!AP108</f>
        <v>6.9650668830486373E-2</v>
      </c>
      <c r="C133" s="527">
        <f>'Recycling - Case 2'!$AK108*'Recycling - Case 2'!BM108*'4C2 Open-burning '!$B133</f>
        <v>408.50849791562155</v>
      </c>
      <c r="D133" s="528">
        <f>'Recycling - Case 2'!$AK108*'Recycling - Case 2'!BN108*'4C2 Open-burning '!$B133</f>
        <v>426.64841065582618</v>
      </c>
      <c r="E133" s="528">
        <f>'Recycling - Case 2'!$AK108*'Recycling - Case 2'!BO108*'4C2 Open-burning '!$B133</f>
        <v>116.53063300338647</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455.59473890699661</v>
      </c>
      <c r="J133" s="744">
        <f t="shared" si="12"/>
        <v>1407.2822804818309</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0.61558938312900946</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15.696149944823846</v>
      </c>
      <c r="R133" s="1382">
        <f t="shared" si="8"/>
        <v>16.311739327952857</v>
      </c>
      <c r="S133" s="485">
        <f>C133*'4C2 Open-burning '!$C$9*'4C2 Open-burning '!$C$11*$C$5</f>
        <v>1.5931831418709239</v>
      </c>
      <c r="T133" s="485">
        <f>D133*'4C2 Open-burning '!$C$9*'4C2 Open-burning '!$C$11*$C$5</f>
        <v>1.663928801557722</v>
      </c>
      <c r="U133" s="485">
        <f>E133*'4C2 Open-burning '!$C$9*'4C2 Open-burning '!$C$11*$C$5</f>
        <v>0.4544694687132072</v>
      </c>
      <c r="V133" s="485">
        <f>F133*'4C2 Open-burning '!$C$9*'4C2 Open-burning '!$C$11*$C$5</f>
        <v>0</v>
      </c>
      <c r="W133" s="485">
        <f>G133*'4C2 Open-burning '!$C$9*'4C2 Open-burning '!$C$11*$C$5</f>
        <v>0</v>
      </c>
      <c r="X133" s="485">
        <f>H133*'4C2 Open-burning '!$C$9*'4C2 Open-burning '!$C$11*$C$5</f>
        <v>0</v>
      </c>
      <c r="Y133" s="485">
        <f>I133*'4C2 Open-burning '!$C$9*'4C2 Open-burning '!$C$11*$C$5</f>
        <v>1.7768194817372867</v>
      </c>
      <c r="Z133" s="486">
        <f t="shared" si="9"/>
        <v>5.48840089387914</v>
      </c>
      <c r="AA133" s="487">
        <f>C133*'4C2 Open-burning '!$C$10*'4C2 Open-burning '!$C$11*$C$5*C$15</f>
        <v>1.4706305924962373E-2</v>
      </c>
      <c r="AB133" s="487">
        <f>D133*'4C2 Open-burning '!$C$10*'4C2 Open-burning '!$C$11*$C$5*D$15</f>
        <v>1.5359342783609745E-2</v>
      </c>
      <c r="AC133" s="487">
        <f>E133*'4C2 Open-burning '!$C$10*'4C2 Open-burning '!$C$11*$C$5*E$15</f>
        <v>9.4389812732743016E-3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3.6903173851466728E-2</v>
      </c>
      <c r="AH133" s="488">
        <f t="shared" si="10"/>
        <v>7.6407803833313151E-2</v>
      </c>
      <c r="AI133" s="1387"/>
      <c r="AJ133" s="1386"/>
      <c r="AK133" s="1387"/>
    </row>
    <row r="134" spans="1:37">
      <c r="A134" s="157">
        <f>'Input data'!A129</f>
        <v>2029</v>
      </c>
      <c r="B134" s="417">
        <f>'Recycling - Case 2'!AP109</f>
        <v>6.456893299470301E-2</v>
      </c>
      <c r="C134" s="527">
        <f>'Recycling - Case 2'!$AK109*'Recycling - Case 2'!BM109*'4C2 Open-burning '!$B134</f>
        <v>374.02265479868714</v>
      </c>
      <c r="D134" s="528">
        <f>'Recycling - Case 2'!$AK109*'Recycling - Case 2'!BN109*'4C2 Open-burning '!$B134</f>
        <v>390.63121583358947</v>
      </c>
      <c r="E134" s="528">
        <f>'Recycling - Case 2'!$AK109*'Recycling - Case 2'!BO109*'4C2 Open-burning '!$B134</f>
        <v>106.69324369918181</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417.13392653463643</v>
      </c>
      <c r="J134" s="744">
        <f t="shared" si="12"/>
        <v>1288.4810408660949</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0.56362199689504577</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14.371098036971294</v>
      </c>
      <c r="R134" s="1382">
        <f t="shared" si="8"/>
        <v>14.93472003386634</v>
      </c>
      <c r="S134" s="485">
        <f>C134*'4C2 Open-burning '!$C$9*'4C2 Open-burning '!$C$11*$C$5</f>
        <v>1.4586883537148798</v>
      </c>
      <c r="T134" s="485">
        <f>D134*'4C2 Open-burning '!$C$9*'4C2 Open-burning '!$C$11*$C$5</f>
        <v>1.5234617417509988</v>
      </c>
      <c r="U134" s="485">
        <f>E134*'4C2 Open-burning '!$C$9*'4C2 Open-burning '!$C$11*$C$5</f>
        <v>0.41610365042680902</v>
      </c>
      <c r="V134" s="485">
        <f>F134*'4C2 Open-burning '!$C$9*'4C2 Open-burning '!$C$11*$C$5</f>
        <v>0</v>
      </c>
      <c r="W134" s="485">
        <f>G134*'4C2 Open-burning '!$C$9*'4C2 Open-burning '!$C$11*$C$5</f>
        <v>0</v>
      </c>
      <c r="X134" s="485">
        <f>H134*'4C2 Open-burning '!$C$9*'4C2 Open-burning '!$C$11*$C$5</f>
        <v>0</v>
      </c>
      <c r="Y134" s="485">
        <f>I134*'4C2 Open-burning '!$C$9*'4C2 Open-burning '!$C$11*$C$5</f>
        <v>1.6268223134850821</v>
      </c>
      <c r="Z134" s="486">
        <f t="shared" si="9"/>
        <v>5.0250760593777697</v>
      </c>
      <c r="AA134" s="487">
        <f>C134*'4C2 Open-burning '!$C$10*'4C2 Open-burning '!$C$11*$C$5*C$15</f>
        <v>1.3464815572752737E-2</v>
      </c>
      <c r="AB134" s="487">
        <f>D134*'4C2 Open-burning '!$C$10*'4C2 Open-burning '!$C$11*$C$5*D$15</f>
        <v>1.4062723770009221E-2</v>
      </c>
      <c r="AC134" s="487">
        <f>E134*'4C2 Open-burning '!$C$10*'4C2 Open-burning '!$C$11*$C$5*E$15</f>
        <v>8.642152739633726E-3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3.3787848049305548E-2</v>
      </c>
      <c r="AH134" s="488">
        <f t="shared" si="10"/>
        <v>6.9957540131701232E-2</v>
      </c>
      <c r="AI134" s="1387"/>
      <c r="AJ134" s="1386"/>
      <c r="AK134" s="1387"/>
    </row>
    <row r="135" spans="1:37">
      <c r="A135" s="157">
        <f>'Input data'!A130</f>
        <v>2030</v>
      </c>
      <c r="B135" s="417">
        <f>'Recycling - Case 2'!AP110</f>
        <v>5.9232841965285256E-2</v>
      </c>
      <c r="C135" s="527">
        <f>'Recycling - Case 2'!$AK110*'Recycling - Case 2'!BM110*'4C2 Open-burning '!$B135</f>
        <v>338.8310757638115</v>
      </c>
      <c r="D135" s="528">
        <f>'Recycling - Case 2'!$AK110*'Recycling - Case 2'!BN110*'4C2 Open-burning '!$B135</f>
        <v>353.87694672949891</v>
      </c>
      <c r="E135" s="528">
        <f>'Recycling - Case 2'!$AK110*'Recycling - Case 2'!BO110*'4C2 Open-burning '!$B135</f>
        <v>96.654537032742255</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377.88603244203728</v>
      </c>
      <c r="J135" s="744">
        <f t="shared" si="12"/>
        <v>1167.2485919680898</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0.51059112351064551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13.018929589693068</v>
      </c>
      <c r="R135" s="1382">
        <f t="shared" si="8"/>
        <v>13.529520713203713</v>
      </c>
      <c r="S135" s="485">
        <f>C135*'4C2 Open-burning '!$C$9*'4C2 Open-burning '!$C$11*$C$5</f>
        <v>1.321441195478865</v>
      </c>
      <c r="T135" s="485">
        <f>D135*'4C2 Open-burning '!$C$9*'4C2 Open-burning '!$C$11*$C$5</f>
        <v>1.3801200922450456</v>
      </c>
      <c r="U135" s="485">
        <f>E135*'4C2 Open-burning '!$C$9*'4C2 Open-burning '!$C$11*$C$5</f>
        <v>0.37695269442769475</v>
      </c>
      <c r="V135" s="485">
        <f>F135*'4C2 Open-burning '!$C$9*'4C2 Open-burning '!$C$11*$C$5</f>
        <v>0</v>
      </c>
      <c r="W135" s="485">
        <f>G135*'4C2 Open-burning '!$C$9*'4C2 Open-burning '!$C$11*$C$5</f>
        <v>0</v>
      </c>
      <c r="X135" s="485">
        <f>H135*'4C2 Open-burning '!$C$9*'4C2 Open-burning '!$C$11*$C$5</f>
        <v>0</v>
      </c>
      <c r="Y135" s="485">
        <f>I135*'4C2 Open-burning '!$C$9*'4C2 Open-burning '!$C$11*$C$5</f>
        <v>1.4737555265239453</v>
      </c>
      <c r="Z135" s="486">
        <f t="shared" si="9"/>
        <v>4.5522695086755505</v>
      </c>
      <c r="AA135" s="487">
        <f>C135*'4C2 Open-burning '!$C$10*'4C2 Open-burning '!$C$11*$C$5*C$15</f>
        <v>1.2197918727497212E-2</v>
      </c>
      <c r="AB135" s="487">
        <f>D135*'4C2 Open-burning '!$C$10*'4C2 Open-burning '!$C$11*$C$5*D$15</f>
        <v>1.2739570082261962E-2</v>
      </c>
      <c r="AC135" s="487">
        <f>E135*'4C2 Open-burning '!$C$10*'4C2 Open-burning '!$C$11*$C$5*E$15</f>
        <v>7.8290174996521224E-3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3.0608768627805014E-2</v>
      </c>
      <c r="AH135" s="488">
        <f t="shared" si="10"/>
        <v>6.3375274937216314E-2</v>
      </c>
      <c r="AI135" s="1387"/>
      <c r="AJ135" s="1386"/>
      <c r="AK135" s="1387"/>
    </row>
    <row r="136" spans="1:37">
      <c r="A136" s="157">
        <f>'Input data'!A131</f>
        <v>2031</v>
      </c>
      <c r="B136" s="417">
        <f>'Recycling - Case 2'!AP111</f>
        <v>5.3303987081268309E-2</v>
      </c>
      <c r="C136" s="527">
        <f>'Recycling - Case 2'!$AK111*'Recycling - Case 2'!BM111*'4C2 Open-burning '!$B136</f>
        <v>298.82604241262339</v>
      </c>
      <c r="D136" s="528">
        <f>'Recycling - Case 2'!$AK111*'Recycling - Case 2'!BN111*'4C2 Open-burning '!$B136</f>
        <v>312.09548077565421</v>
      </c>
      <c r="E136" s="528">
        <f>'Recycling - Case 2'!$AK111*'Recycling - Case 2'!BO111*'4C2 Open-burning '!$B136</f>
        <v>85.242750292632735</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333.26986700705311</v>
      </c>
      <c r="J136" s="744">
        <f t="shared" si="12"/>
        <v>1029.4341404879635</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0.45030676240587336</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11.481813458126993</v>
      </c>
      <c r="R136" s="1382">
        <f t="shared" si="8"/>
        <v>11.932120220532866</v>
      </c>
      <c r="S136" s="485">
        <f>C136*'4C2 Open-burning '!$C$9*'4C2 Open-burning '!$C$11*$C$5</f>
        <v>1.1654215654092313</v>
      </c>
      <c r="T136" s="485">
        <f>D136*'4C2 Open-burning '!$C$9*'4C2 Open-burning '!$C$11*$C$5</f>
        <v>1.2171723750250514</v>
      </c>
      <c r="U136" s="485">
        <f>E136*'4C2 Open-burning '!$C$9*'4C2 Open-burning '!$C$11*$C$5</f>
        <v>0.33244672614126763</v>
      </c>
      <c r="V136" s="485">
        <f>F136*'4C2 Open-burning '!$C$9*'4C2 Open-burning '!$C$11*$C$5</f>
        <v>0</v>
      </c>
      <c r="W136" s="485">
        <f>G136*'4C2 Open-burning '!$C$9*'4C2 Open-burning '!$C$11*$C$5</f>
        <v>0</v>
      </c>
      <c r="X136" s="485">
        <f>H136*'4C2 Open-burning '!$C$9*'4C2 Open-burning '!$C$11*$C$5</f>
        <v>0</v>
      </c>
      <c r="Y136" s="485">
        <f>I136*'4C2 Open-burning '!$C$9*'4C2 Open-burning '!$C$11*$C$5</f>
        <v>1.299752481327507</v>
      </c>
      <c r="Z136" s="486">
        <f t="shared" si="9"/>
        <v>4.014793147903057</v>
      </c>
      <c r="AA136" s="487">
        <f>C136*'4C2 Open-burning '!$C$10*'4C2 Open-burning '!$C$11*$C$5*C$15</f>
        <v>1.0757737526854444E-2</v>
      </c>
      <c r="AB136" s="487">
        <f>D136*'4C2 Open-burning '!$C$10*'4C2 Open-burning '!$C$11*$C$5*D$15</f>
        <v>1.123543730792355E-2</v>
      </c>
      <c r="AC136" s="487">
        <f>E136*'4C2 Open-burning '!$C$10*'4C2 Open-burning '!$C$11*$C$5*E$15</f>
        <v>6.9046627737032514E-3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2.6994859227571302E-2</v>
      </c>
      <c r="AH136" s="488">
        <f t="shared" si="10"/>
        <v>5.5892696836052552E-2</v>
      </c>
      <c r="AI136" s="1387"/>
      <c r="AJ136" s="1386"/>
      <c r="AK136" s="1387"/>
    </row>
    <row r="137" spans="1:37">
      <c r="A137" s="157">
        <f>'Input data'!A132</f>
        <v>2032</v>
      </c>
      <c r="B137" s="417">
        <f>'Recycling - Case 2'!AP112</f>
        <v>4.7169902017933425E-2</v>
      </c>
      <c r="C137" s="527">
        <f>'Recycling - Case 2'!$AK112*'Recycling - Case 2'!BM112*'4C2 Open-burning '!$B137</f>
        <v>259.06958659317866</v>
      </c>
      <c r="D137" s="528">
        <f>'Recycling - Case 2'!$AK112*'Recycling - Case 2'!BN112*'4C2 Open-burning '!$B137</f>
        <v>270.57363049537389</v>
      </c>
      <c r="E137" s="528">
        <f>'Recycling - Case 2'!$AK112*'Recycling - Case 2'!BO112*'4C2 Open-burning '!$B137</f>
        <v>73.901872474301555</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288.93093109422244</v>
      </c>
      <c r="J137" s="744">
        <f t="shared" si="12"/>
        <v>892.47602065707656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0.39039698760764435</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9.9542484380581513</v>
      </c>
      <c r="R137" s="1382">
        <f t="shared" si="8"/>
        <v>10.344645425665796</v>
      </c>
      <c r="S137" s="485">
        <f>C137*'4C2 Open-burning '!$C$9*'4C2 Open-burning '!$C$11*$C$5</f>
        <v>1.0103713877133966</v>
      </c>
      <c r="T137" s="485">
        <f>D137*'4C2 Open-burning '!$C$9*'4C2 Open-burning '!$C$11*$C$5</f>
        <v>1.055237158931958</v>
      </c>
      <c r="U137" s="485">
        <f>E137*'4C2 Open-burning '!$C$9*'4C2 Open-burning '!$C$11*$C$5</f>
        <v>0.28821730264977602</v>
      </c>
      <c r="V137" s="485">
        <f>F137*'4C2 Open-burning '!$C$9*'4C2 Open-burning '!$C$11*$C$5</f>
        <v>0</v>
      </c>
      <c r="W137" s="485">
        <f>G137*'4C2 Open-burning '!$C$9*'4C2 Open-burning '!$C$11*$C$5</f>
        <v>0</v>
      </c>
      <c r="X137" s="485">
        <f>H137*'4C2 Open-burning '!$C$9*'4C2 Open-burning '!$C$11*$C$5</f>
        <v>0</v>
      </c>
      <c r="Y137" s="485">
        <f>I137*'4C2 Open-burning '!$C$9*'4C2 Open-burning '!$C$11*$C$5</f>
        <v>1.1268306312674674</v>
      </c>
      <c r="Z137" s="486">
        <f t="shared" si="9"/>
        <v>3.4806564805625984</v>
      </c>
      <c r="AA137" s="487">
        <f>C137*'4C2 Open-burning '!$C$10*'4C2 Open-burning '!$C$11*$C$5*C$15</f>
        <v>9.3265051173544306E-3</v>
      </c>
      <c r="AB137" s="487">
        <f>D137*'4C2 Open-burning '!$C$10*'4C2 Open-burning '!$C$11*$C$5*D$15</f>
        <v>9.7406506978334612E-3</v>
      </c>
      <c r="AC137" s="487">
        <f>E137*'4C2 Open-burning '!$C$10*'4C2 Open-burning '!$C$11*$C$5*E$15</f>
        <v>5.9860516704184257E-3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2.3403405418632013E-2</v>
      </c>
      <c r="AH137" s="488">
        <f t="shared" si="10"/>
        <v>4.8456612904238333E-2</v>
      </c>
      <c r="AI137" s="1387"/>
      <c r="AJ137" s="1386"/>
      <c r="AK137" s="1387"/>
    </row>
    <row r="138" spans="1:37">
      <c r="A138" s="157">
        <f>'Input data'!A133</f>
        <v>2033</v>
      </c>
      <c r="B138" s="417">
        <f>'Recycling - Case 2'!AP113</f>
        <v>4.6838844603991521E-2</v>
      </c>
      <c r="C138" s="527">
        <f>'Recycling - Case 2'!$AK113*'Recycling - Case 2'!BM113*'4C2 Open-burning '!$B138</f>
        <v>258.30163348813284</v>
      </c>
      <c r="D138" s="528">
        <f>'Recycling - Case 2'!$AK113*'Recycling - Case 2'!BN113*'4C2 Open-burning '!$B138</f>
        <v>269.77157625807456</v>
      </c>
      <c r="E138" s="528">
        <f>'Recycling - Case 2'!$AK113*'Recycling - Case 2'!BO113*'4C2 Open-burning '!$B138</f>
        <v>73.682807113594208</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288.0744607975912</v>
      </c>
      <c r="J138" s="744">
        <f t="shared" si="12"/>
        <v>889.83047765739275</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0.38923974417055729</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9.9247413233986101</v>
      </c>
      <c r="R138" s="1382">
        <f t="shared" si="8"/>
        <v>10.313981067569168</v>
      </c>
      <c r="S138" s="485">
        <f>C138*'4C2 Open-burning '!$C$9*'4C2 Open-burning '!$C$11*$C$5</f>
        <v>1.007376370603718</v>
      </c>
      <c r="T138" s="485">
        <f>D138*'4C2 Open-burning '!$C$9*'4C2 Open-burning '!$C$11*$C$5</f>
        <v>1.0521091474064908</v>
      </c>
      <c r="U138" s="485">
        <f>E138*'4C2 Open-burning '!$C$9*'4C2 Open-burning '!$C$11*$C$5</f>
        <v>0.28736294774301735</v>
      </c>
      <c r="V138" s="485">
        <f>F138*'4C2 Open-burning '!$C$9*'4C2 Open-burning '!$C$11*$C$5</f>
        <v>0</v>
      </c>
      <c r="W138" s="485">
        <f>G138*'4C2 Open-burning '!$C$9*'4C2 Open-burning '!$C$11*$C$5</f>
        <v>0</v>
      </c>
      <c r="X138" s="485">
        <f>H138*'4C2 Open-burning '!$C$9*'4C2 Open-burning '!$C$11*$C$5</f>
        <v>0</v>
      </c>
      <c r="Y138" s="485">
        <f>I138*'4C2 Open-burning '!$C$9*'4C2 Open-burning '!$C$11*$C$5</f>
        <v>1.1234903971106056</v>
      </c>
      <c r="Z138" s="486">
        <f t="shared" si="9"/>
        <v>3.4703388628638314</v>
      </c>
      <c r="AA138" s="487">
        <f>C138*'4C2 Open-burning '!$C$10*'4C2 Open-burning '!$C$11*$C$5*C$15</f>
        <v>9.2988588055727805E-3</v>
      </c>
      <c r="AB138" s="487">
        <f>D138*'4C2 Open-burning '!$C$10*'4C2 Open-burning '!$C$11*$C$5*D$15</f>
        <v>9.7117767452906834E-3</v>
      </c>
      <c r="AC138" s="487">
        <f>E138*'4C2 Open-burning '!$C$10*'4C2 Open-burning '!$C$11*$C$5*E$15</f>
        <v>5.968307376201131E-3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2.333403132460489E-2</v>
      </c>
      <c r="AH138" s="488">
        <f t="shared" si="10"/>
        <v>4.8312974251669485E-2</v>
      </c>
      <c r="AI138" s="1387"/>
      <c r="AJ138" s="1386"/>
      <c r="AK138" s="1387"/>
    </row>
    <row r="139" spans="1:37">
      <c r="A139" s="157">
        <f>'Input data'!A134</f>
        <v>2034</v>
      </c>
      <c r="B139" s="417">
        <f>'Recycling - Case 2'!AP114</f>
        <v>4.6510696882263718E-2</v>
      </c>
      <c r="C139" s="527">
        <f>'Recycling - Case 2'!$AK114*'Recycling - Case 2'!BM114*'4C2 Open-burning '!$B139</f>
        <v>257.54466088971469</v>
      </c>
      <c r="D139" s="528">
        <f>'Recycling - Case 2'!$AK114*'Recycling - Case 2'!BN114*'4C2 Open-burning '!$B139</f>
        <v>268.98099011929656</v>
      </c>
      <c r="E139" s="528">
        <f>'Recycling - Case 2'!$AK114*'Recycling - Case 2'!BO114*'4C2 Open-burning '!$B139</f>
        <v>73.466874038737828</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287.23023666248571</v>
      </c>
      <c r="J139" s="744">
        <f t="shared" si="12"/>
        <v>887.22276171023475</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0.38809904747199797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9.8956561134959564</v>
      </c>
      <c r="R139" s="1382">
        <f t="shared" si="8"/>
        <v>10.283755160967955</v>
      </c>
      <c r="S139" s="485">
        <f>C139*'4C2 Open-burning '!$C$9*'4C2 Open-burning '!$C$11*$C$5</f>
        <v>1.0044241774698872</v>
      </c>
      <c r="T139" s="485">
        <f>D139*'4C2 Open-burning '!$C$9*'4C2 Open-burning '!$C$11*$C$5</f>
        <v>1.0490258614652563</v>
      </c>
      <c r="U139" s="485">
        <f>E139*'4C2 Open-burning '!$C$9*'4C2 Open-burning '!$C$11*$C$5</f>
        <v>0.28652080875107749</v>
      </c>
      <c r="V139" s="485">
        <f>F139*'4C2 Open-burning '!$C$9*'4C2 Open-burning '!$C$11*$C$5</f>
        <v>0</v>
      </c>
      <c r="W139" s="485">
        <f>G139*'4C2 Open-burning '!$C$9*'4C2 Open-burning '!$C$11*$C$5</f>
        <v>0</v>
      </c>
      <c r="X139" s="485">
        <f>H139*'4C2 Open-burning '!$C$9*'4C2 Open-burning '!$C$11*$C$5</f>
        <v>0</v>
      </c>
      <c r="Y139" s="485">
        <f>I139*'4C2 Open-burning '!$C$9*'4C2 Open-burning '!$C$11*$C$5</f>
        <v>1.1201979229836942</v>
      </c>
      <c r="Z139" s="486">
        <f t="shared" si="9"/>
        <v>3.4601687706699158</v>
      </c>
      <c r="AA139" s="487">
        <f>C139*'4C2 Open-burning '!$C$10*'4C2 Open-burning '!$C$11*$C$5*C$15</f>
        <v>9.2716077920297277E-3</v>
      </c>
      <c r="AB139" s="487">
        <f>D139*'4C2 Open-burning '!$C$10*'4C2 Open-burning '!$C$11*$C$5*D$15</f>
        <v>9.6833156442946763E-3</v>
      </c>
      <c r="AC139" s="487">
        <f>E139*'4C2 Open-burning '!$C$10*'4C2 Open-burning '!$C$11*$C$5*E$15</f>
        <v>5.950816797137764E-3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2.326564916966134E-2</v>
      </c>
      <c r="AH139" s="488">
        <f t="shared" si="10"/>
        <v>4.8171389403123509E-2</v>
      </c>
      <c r="AI139" s="1387"/>
      <c r="AJ139" s="1386"/>
      <c r="AK139" s="1387"/>
    </row>
    <row r="140" spans="1:37">
      <c r="A140" s="157">
        <f>'Input data'!A135</f>
        <v>2035</v>
      </c>
      <c r="B140" s="417">
        <f>'Recycling - Case 2'!AP115</f>
        <v>4.6185410753871683E-2</v>
      </c>
      <c r="C140" s="527">
        <f>'Recycling - Case 2'!$AK115*'Recycling - Case 2'!BM115*'4C2 Open-burning '!$B140</f>
        <v>256.79846171705356</v>
      </c>
      <c r="D140" s="528">
        <f>'Recycling - Case 2'!$AK115*'Recycling - Case 2'!BN115*'4C2 Open-burning '!$B140</f>
        <v>268.20165580269605</v>
      </c>
      <c r="E140" s="528">
        <f>'Recycling - Case 2'!$AK115*'Recycling - Case 2'!BO115*'4C2 Open-burning '!$B140</f>
        <v>73.25401417809725</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286.39802773910759</v>
      </c>
      <c r="J140" s="744">
        <f t="shared" si="12"/>
        <v>884.65215943695443</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0.38697458545778363</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9.8669848516677341</v>
      </c>
      <c r="R140" s="1382">
        <f t="shared" si="8"/>
        <v>10.253959437125518</v>
      </c>
      <c r="S140" s="485">
        <f>C140*'4C2 Open-burning '!$C$9*'4C2 Open-burning '!$C$11*$C$5</f>
        <v>1.0015140006965089</v>
      </c>
      <c r="T140" s="485">
        <f>D140*'4C2 Open-burning '!$C$9*'4C2 Open-burning '!$C$11*$C$5</f>
        <v>1.0459864576305145</v>
      </c>
      <c r="U140" s="485">
        <f>E140*'4C2 Open-burning '!$C$9*'4C2 Open-burning '!$C$11*$C$5</f>
        <v>0.28569065529457921</v>
      </c>
      <c r="V140" s="485">
        <f>F140*'4C2 Open-burning '!$C$9*'4C2 Open-burning '!$C$11*$C$5</f>
        <v>0</v>
      </c>
      <c r="W140" s="485">
        <f>G140*'4C2 Open-burning '!$C$9*'4C2 Open-burning '!$C$11*$C$5</f>
        <v>0</v>
      </c>
      <c r="X140" s="485">
        <f>H140*'4C2 Open-burning '!$C$9*'4C2 Open-burning '!$C$11*$C$5</f>
        <v>0</v>
      </c>
      <c r="Y140" s="485">
        <f>I140*'4C2 Open-burning '!$C$9*'4C2 Open-burning '!$C$11*$C$5</f>
        <v>1.1169523081825194</v>
      </c>
      <c r="Z140" s="486">
        <f t="shared" si="9"/>
        <v>3.450143421804122</v>
      </c>
      <c r="AA140" s="487">
        <f>C140*'4C2 Open-burning '!$C$10*'4C2 Open-burning '!$C$11*$C$5*C$15</f>
        <v>9.2447446218139277E-3</v>
      </c>
      <c r="AB140" s="487">
        <f>D140*'4C2 Open-burning '!$C$10*'4C2 Open-burning '!$C$11*$C$5*D$15</f>
        <v>9.6552596088970571E-3</v>
      </c>
      <c r="AC140" s="487">
        <f>E140*'4C2 Open-burning '!$C$10*'4C2 Open-burning '!$C$11*$C$5*E$15</f>
        <v>5.9335751484258775E-3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2.3198240246867712E-2</v>
      </c>
      <c r="AH140" s="488">
        <f t="shared" si="10"/>
        <v>4.8031819626004571E-2</v>
      </c>
      <c r="AI140" s="1387"/>
      <c r="AJ140" s="1386"/>
      <c r="AK140" s="1387"/>
    </row>
    <row r="141" spans="1:37">
      <c r="A141" s="157">
        <f>'Input data'!A136</f>
        <v>2036</v>
      </c>
      <c r="B141" s="417">
        <f>'Recycling - Case 2'!AP116</f>
        <v>4.5908441368712229E-2</v>
      </c>
      <c r="C141" s="527">
        <f>'Recycling - Case 2'!$AK116*'Recycling - Case 2'!BM116*'4C2 Open-burning '!$B141</f>
        <v>256.16638525188546</v>
      </c>
      <c r="D141" s="528">
        <f>'Recycling - Case 2'!$AK116*'Recycling - Case 2'!BN116*'4C2 Open-burning '!$B141</f>
        <v>267.54151183836512</v>
      </c>
      <c r="E141" s="528">
        <f>'Recycling - Case 2'!$AK116*'Recycling - Case 2'!BO116*'4C2 Open-burning '!$B141</f>
        <v>73.073708821003336</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285.69309573992803</v>
      </c>
      <c r="J141" s="744">
        <f t="shared" si="12"/>
        <v>882.47470165118193</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0.38602209716618507</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9.8426985344319995</v>
      </c>
      <c r="R141" s="1382">
        <f t="shared" si="8"/>
        <v>10.228720631598184</v>
      </c>
      <c r="S141" s="485">
        <f>C141*'4C2 Open-burning '!$C$9*'4C2 Open-burning '!$C$11*$C$5</f>
        <v>0.99904890248235312</v>
      </c>
      <c r="T141" s="485">
        <f>D141*'4C2 Open-burning '!$C$9*'4C2 Open-burning '!$C$11*$C$5</f>
        <v>1.0434118961696239</v>
      </c>
      <c r="U141" s="485">
        <f>E141*'4C2 Open-burning '!$C$9*'4C2 Open-burning '!$C$11*$C$5</f>
        <v>0.28498746440191297</v>
      </c>
      <c r="V141" s="485">
        <f>F141*'4C2 Open-burning '!$C$9*'4C2 Open-burning '!$C$11*$C$5</f>
        <v>0</v>
      </c>
      <c r="W141" s="485">
        <f>G141*'4C2 Open-burning '!$C$9*'4C2 Open-burning '!$C$11*$C$5</f>
        <v>0</v>
      </c>
      <c r="X141" s="485">
        <f>H141*'4C2 Open-burning '!$C$9*'4C2 Open-burning '!$C$11*$C$5</f>
        <v>0</v>
      </c>
      <c r="Y141" s="485">
        <f>I141*'4C2 Open-burning '!$C$9*'4C2 Open-burning '!$C$11*$C$5</f>
        <v>1.1142030733857191</v>
      </c>
      <c r="Z141" s="486">
        <f t="shared" si="9"/>
        <v>3.4416513364396093</v>
      </c>
      <c r="AA141" s="487">
        <f>C141*'4C2 Open-burning '!$C$10*'4C2 Open-burning '!$C$11*$C$5*C$15</f>
        <v>9.2219898690678783E-3</v>
      </c>
      <c r="AB141" s="487">
        <f>D141*'4C2 Open-burning '!$C$10*'4C2 Open-burning '!$C$11*$C$5*D$15</f>
        <v>9.6314944261811433E-3</v>
      </c>
      <c r="AC141" s="487">
        <f>E141*'4C2 Open-burning '!$C$10*'4C2 Open-burning '!$C$11*$C$5*E$15</f>
        <v>5.9189704145012701E-3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2.3141140754934165E-2</v>
      </c>
      <c r="AH141" s="488">
        <f t="shared" si="10"/>
        <v>4.7913595464684461E-2</v>
      </c>
      <c r="AI141" s="1387"/>
      <c r="AJ141" s="1386"/>
      <c r="AK141" s="1387"/>
    </row>
    <row r="142" spans="1:37">
      <c r="A142" s="157">
        <f>'Input data'!A137</f>
        <v>2037</v>
      </c>
      <c r="B142" s="417">
        <f>'Recycling - Case 2'!AP117</f>
        <v>4.5633516922949667E-2</v>
      </c>
      <c r="C142" s="527">
        <f>'Recycling - Case 2'!$AK117*'Recycling - Case 2'!BM117*'4C2 Open-burning '!$B142</f>
        <v>255.5419728933048</v>
      </c>
      <c r="D142" s="528">
        <f>'Recycling - Case 2'!$AK117*'Recycling - Case 2'!BN117*'4C2 Open-burning '!$B142</f>
        <v>266.88937230701725</v>
      </c>
      <c r="E142" s="528">
        <f>'Recycling - Case 2'!$AK117*'Recycling - Case 2'!BO117*'4C2 Open-burning '!$B142</f>
        <v>72.895589717553079</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284.99671124136955</v>
      </c>
      <c r="J142" s="744">
        <f t="shared" si="12"/>
        <v>880.32364615924473</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0.38508115806553461</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9.8187066956876627</v>
      </c>
      <c r="R142" s="1382">
        <f t="shared" si="8"/>
        <v>10.203787853753198</v>
      </c>
      <c r="S142" s="485">
        <f>C142*'4C2 Open-burning '!$C$9*'4C2 Open-burning '!$C$11*$C$5</f>
        <v>0.99661369428388857</v>
      </c>
      <c r="T142" s="485">
        <f>D142*'4C2 Open-burning '!$C$9*'4C2 Open-burning '!$C$11*$C$5</f>
        <v>1.0408685519973673</v>
      </c>
      <c r="U142" s="485">
        <f>E142*'4C2 Open-burning '!$C$9*'4C2 Open-burning '!$C$11*$C$5</f>
        <v>0.28429279989845696</v>
      </c>
      <c r="V142" s="485">
        <f>F142*'4C2 Open-burning '!$C$9*'4C2 Open-burning '!$C$11*$C$5</f>
        <v>0</v>
      </c>
      <c r="W142" s="485">
        <f>G142*'4C2 Open-burning '!$C$9*'4C2 Open-burning '!$C$11*$C$5</f>
        <v>0</v>
      </c>
      <c r="X142" s="485">
        <f>H142*'4C2 Open-burning '!$C$9*'4C2 Open-burning '!$C$11*$C$5</f>
        <v>0</v>
      </c>
      <c r="Y142" s="485">
        <f>I142*'4C2 Open-burning '!$C$9*'4C2 Open-burning '!$C$11*$C$5</f>
        <v>1.1114871738413412</v>
      </c>
      <c r="Z142" s="486">
        <f t="shared" si="9"/>
        <v>3.4332622200210539</v>
      </c>
      <c r="AA142" s="487">
        <f>C142*'4C2 Open-burning '!$C$10*'4C2 Open-burning '!$C$11*$C$5*C$15</f>
        <v>9.1995110241589722E-3</v>
      </c>
      <c r="AB142" s="487">
        <f>D142*'4C2 Open-burning '!$C$10*'4C2 Open-burning '!$C$11*$C$5*D$15</f>
        <v>9.6080174030526207E-3</v>
      </c>
      <c r="AC142" s="487">
        <f>E142*'4C2 Open-burning '!$C$10*'4C2 Open-burning '!$C$11*$C$5*E$15</f>
        <v>5.9045427671217997E-3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2.3084733610550929E-2</v>
      </c>
      <c r="AH142" s="488">
        <f t="shared" si="10"/>
        <v>4.7796804804884324E-2</v>
      </c>
      <c r="AI142" s="1387"/>
      <c r="AJ142" s="1386"/>
      <c r="AK142" s="1387"/>
    </row>
    <row r="143" spans="1:37">
      <c r="A143" s="157">
        <f>'Input data'!A138</f>
        <v>2038</v>
      </c>
      <c r="B143" s="417">
        <f>'Recycling - Case 2'!AP118</f>
        <v>4.5360609115513109E-2</v>
      </c>
      <c r="C143" s="527">
        <f>'Recycling - Case 2'!$AK118*'Recycling - Case 2'!BM118*'4C2 Open-burning '!$B143</f>
        <v>254.9251023999845</v>
      </c>
      <c r="D143" s="528">
        <f>'Recycling - Case 2'!$AK118*'Recycling - Case 2'!BN118*'4C2 Open-burning '!$B143</f>
        <v>266.24510953917166</v>
      </c>
      <c r="E143" s="528">
        <f>'Recycling - Case 2'!$AK118*'Recycling - Case 2'!BO118*'4C2 Open-burning '!$B143</f>
        <v>72.719621997335494</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284.30873791210541</v>
      </c>
      <c r="J143" s="744">
        <f t="shared" si="12"/>
        <v>878.19857184859711</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0.38415158394800436</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9.7950046385478551</v>
      </c>
      <c r="R143" s="1382">
        <f t="shared" si="8"/>
        <v>10.179156222495859</v>
      </c>
      <c r="S143" s="485">
        <f>C143*'4C2 Open-burning '!$C$9*'4C2 Open-burning '!$C$11*$C$5</f>
        <v>0.99420789935993936</v>
      </c>
      <c r="T143" s="485">
        <f>D143*'4C2 Open-burning '!$C$9*'4C2 Open-burning '!$C$11*$C$5</f>
        <v>1.0383559272027696</v>
      </c>
      <c r="U143" s="485">
        <f>E143*'4C2 Open-burning '!$C$9*'4C2 Open-burning '!$C$11*$C$5</f>
        <v>0.28360652578960843</v>
      </c>
      <c r="V143" s="485">
        <f>F143*'4C2 Open-burning '!$C$9*'4C2 Open-burning '!$C$11*$C$5</f>
        <v>0</v>
      </c>
      <c r="W143" s="485">
        <f>G143*'4C2 Open-burning '!$C$9*'4C2 Open-burning '!$C$11*$C$5</f>
        <v>0</v>
      </c>
      <c r="X143" s="485">
        <f>H143*'4C2 Open-burning '!$C$9*'4C2 Open-burning '!$C$11*$C$5</f>
        <v>0</v>
      </c>
      <c r="Y143" s="485">
        <f>I143*'4C2 Open-burning '!$C$9*'4C2 Open-burning '!$C$11*$C$5</f>
        <v>1.108804077857211</v>
      </c>
      <c r="Z143" s="486">
        <f t="shared" si="9"/>
        <v>3.4249744302095286</v>
      </c>
      <c r="AA143" s="487">
        <f>C143*'4C2 Open-burning '!$C$10*'4C2 Open-burning '!$C$11*$C$5*C$15</f>
        <v>9.1773036863994403E-3</v>
      </c>
      <c r="AB143" s="487">
        <f>D143*'4C2 Open-burning '!$C$10*'4C2 Open-burning '!$C$11*$C$5*D$15</f>
        <v>9.5848239434101808E-3</v>
      </c>
      <c r="AC143" s="487">
        <f>E143*'4C2 Open-burning '!$C$10*'4C2 Open-burning '!$C$11*$C$5*E$15</f>
        <v>5.8902893817841745E-3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2.3029007770880537E-2</v>
      </c>
      <c r="AH143" s="488">
        <f t="shared" si="10"/>
        <v>4.7681424782474335E-2</v>
      </c>
      <c r="AI143" s="1387"/>
      <c r="AJ143" s="1386"/>
      <c r="AK143" s="1387"/>
    </row>
    <row r="144" spans="1:37">
      <c r="A144" s="157">
        <f>'Input data'!A139</f>
        <v>2039</v>
      </c>
      <c r="B144" s="417">
        <f>'Recycling - Case 2'!AP119</f>
        <v>4.5089690262495104E-2</v>
      </c>
      <c r="C144" s="527">
        <f>'Recycling - Case 2'!$AK119*'Recycling - Case 2'!BM119*'4C2 Open-burning '!$B144</f>
        <v>254.31565406930503</v>
      </c>
      <c r="D144" s="528">
        <f>'Recycling - Case 2'!$AK119*'Recycling - Case 2'!BN119*'4C2 Open-burning '!$B144</f>
        <v>265.60859851678663</v>
      </c>
      <c r="E144" s="528">
        <f>'Recycling - Case 2'!$AK119*'Recycling - Case 2'!BO119*'4C2 Open-burning '!$B144</f>
        <v>72.545771514128134</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283.62904225213759</v>
      </c>
      <c r="J144" s="744">
        <f t="shared" si="12"/>
        <v>876.09906635235734</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0.38323319443139386</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9.7715877636706434</v>
      </c>
      <c r="R144" s="1382">
        <f t="shared" si="8"/>
        <v>10.154820958102038</v>
      </c>
      <c r="S144" s="485">
        <f>C144*'4C2 Open-burning '!$C$9*'4C2 Open-burning '!$C$11*$C$5</f>
        <v>0.99183105087028967</v>
      </c>
      <c r="T144" s="485">
        <f>D144*'4C2 Open-burning '!$C$9*'4C2 Open-burning '!$C$11*$C$5</f>
        <v>1.0358735342154677</v>
      </c>
      <c r="U144" s="485">
        <f>E144*'4C2 Open-burning '!$C$9*'4C2 Open-burning '!$C$11*$C$5</f>
        <v>0.28292850890509968</v>
      </c>
      <c r="V144" s="485">
        <f>F144*'4C2 Open-burning '!$C$9*'4C2 Open-burning '!$C$11*$C$5</f>
        <v>0</v>
      </c>
      <c r="W144" s="485">
        <f>G144*'4C2 Open-burning '!$C$9*'4C2 Open-burning '!$C$11*$C$5</f>
        <v>0</v>
      </c>
      <c r="X144" s="485">
        <f>H144*'4C2 Open-burning '!$C$9*'4C2 Open-burning '!$C$11*$C$5</f>
        <v>0</v>
      </c>
      <c r="Y144" s="485">
        <f>I144*'4C2 Open-burning '!$C$9*'4C2 Open-burning '!$C$11*$C$5</f>
        <v>1.1061532647833365</v>
      </c>
      <c r="Z144" s="486">
        <f t="shared" si="9"/>
        <v>3.4167863587741936</v>
      </c>
      <c r="AA144" s="487">
        <f>C144*'4C2 Open-burning '!$C$10*'4C2 Open-burning '!$C$11*$C$5*C$15</f>
        <v>9.1553635464949809E-3</v>
      </c>
      <c r="AB144" s="487">
        <f>D144*'4C2 Open-burning '!$C$10*'4C2 Open-burning '!$C$11*$C$5*D$15</f>
        <v>9.5619095466043195E-3</v>
      </c>
      <c r="AC144" s="487">
        <f>E144*'4C2 Open-burning '!$C$10*'4C2 Open-burning '!$C$11*$C$5*E$15</f>
        <v>5.8762074926443789E-3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2.2973952422423144E-2</v>
      </c>
      <c r="AH144" s="488">
        <f t="shared" si="10"/>
        <v>4.7567433008166821E-2</v>
      </c>
      <c r="AI144" s="1387"/>
      <c r="AJ144" s="1386"/>
      <c r="AK144" s="1387"/>
    </row>
    <row r="145" spans="1:39">
      <c r="A145" s="157">
        <f>'Input data'!A140</f>
        <v>2040</v>
      </c>
      <c r="B145" s="417">
        <f>'Recycling - Case 2'!AP120</f>
        <v>4.4820733281477031E-2</v>
      </c>
      <c r="C145" s="527">
        <f>'Recycling - Case 2'!$AK120*'Recycling - Case 2'!BM120*'4C2 Open-burning '!$B145</f>
        <v>253.71351067170062</v>
      </c>
      <c r="D145" s="528">
        <f>'Recycling - Case 2'!$AK120*'Recycling - Case 2'!BN120*'4C2 Open-burning '!$B145</f>
        <v>264.97971680469095</v>
      </c>
      <c r="E145" s="528">
        <f>'Recycling - Case 2'!$AK120*'Recycling - Case 2'!BO120*'4C2 Open-burning '!$B145</f>
        <v>72.374004827168932</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282.95749351957534</v>
      </c>
      <c r="J145" s="744">
        <f t="shared" si="12"/>
        <v>874.0247258231359</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0.38232581286019568</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9.7484515667364082</v>
      </c>
      <c r="R145" s="1382">
        <f t="shared" si="8"/>
        <v>10.130777379596603</v>
      </c>
      <c r="S145" s="485">
        <f>C145*'4C2 Open-burning '!$C$9*'4C2 Open-burning '!$C$11*$C$5</f>
        <v>0.9894826916196322</v>
      </c>
      <c r="T145" s="485">
        <f>D145*'4C2 Open-burning '!$C$9*'4C2 Open-burning '!$C$11*$C$5</f>
        <v>1.0334208955382946</v>
      </c>
      <c r="U145" s="485">
        <f>E145*'4C2 Open-burning '!$C$9*'4C2 Open-burning '!$C$11*$C$5</f>
        <v>0.28225861882595882</v>
      </c>
      <c r="V145" s="485">
        <f>F145*'4C2 Open-burning '!$C$9*'4C2 Open-burning '!$C$11*$C$5</f>
        <v>0</v>
      </c>
      <c r="W145" s="485">
        <f>G145*'4C2 Open-burning '!$C$9*'4C2 Open-burning '!$C$11*$C$5</f>
        <v>0</v>
      </c>
      <c r="X145" s="485">
        <f>H145*'4C2 Open-burning '!$C$9*'4C2 Open-burning '!$C$11*$C$5</f>
        <v>0</v>
      </c>
      <c r="Y145" s="485">
        <f>I145*'4C2 Open-burning '!$C$9*'4C2 Open-burning '!$C$11*$C$5</f>
        <v>1.1035342247263438</v>
      </c>
      <c r="Z145" s="486">
        <f t="shared" si="9"/>
        <v>3.4086964307102301</v>
      </c>
      <c r="AA145" s="487">
        <f>C145*'4C2 Open-burning '!$C$10*'4C2 Open-burning '!$C$11*$C$5*C$15</f>
        <v>9.1336863841812218E-3</v>
      </c>
      <c r="AB145" s="487">
        <f>D145*'4C2 Open-burning '!$C$10*'4C2 Open-burning '!$C$11*$C$5*D$15</f>
        <v>9.5392698049688741E-3</v>
      </c>
      <c r="AC145" s="487">
        <f>E145*'4C2 Open-burning '!$C$10*'4C2 Open-burning '!$C$11*$C$5*E$15</f>
        <v>5.8622943910006838E-3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2.2919556975085603E-2</v>
      </c>
      <c r="AH145" s="488">
        <f t="shared" si="10"/>
        <v>4.7454807555236386E-2</v>
      </c>
      <c r="AI145" s="1387"/>
      <c r="AJ145" s="1386"/>
      <c r="AK145" s="1387"/>
    </row>
    <row r="146" spans="1:39">
      <c r="A146" s="157">
        <f>'Input data'!A141</f>
        <v>2041</v>
      </c>
      <c r="B146" s="417">
        <f>'Recycling - Case 2'!AP121</f>
        <v>4.4593956313696254E-2</v>
      </c>
      <c r="C146" s="527">
        <f>'Recycling - Case 2'!$AK121*'Recycling - Case 2'!BM121*'4C2 Open-burning '!$B146</f>
        <v>253.20804435794963</v>
      </c>
      <c r="D146" s="528">
        <f>'Recycling - Case 2'!$AK121*'Recycling - Case 2'!BN121*'4C2 Open-burning '!$B146</f>
        <v>264.45180514434043</v>
      </c>
      <c r="E146" s="528">
        <f>'Recycling - Case 2'!$AK121*'Recycling - Case 2'!BO121*'4C2 Open-burning '!$B146</f>
        <v>72.229816126557225</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282.3937652387325</v>
      </c>
      <c r="J146" s="744">
        <f t="shared" si="12"/>
        <v>872.2834308675798</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0.38156411586279626</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9.7290300000048102</v>
      </c>
      <c r="R146" s="1382">
        <f t="shared" si="8"/>
        <v>10.110594115867606</v>
      </c>
      <c r="S146" s="485">
        <f>C146*'4C2 Open-burning '!$C$9*'4C2 Open-burning '!$C$11*$C$5</f>
        <v>0.98751137299600344</v>
      </c>
      <c r="T146" s="485">
        <f>D146*'4C2 Open-burning '!$C$9*'4C2 Open-burning '!$C$11*$C$5</f>
        <v>1.0313620400629275</v>
      </c>
      <c r="U146" s="485">
        <f>E146*'4C2 Open-burning '!$C$9*'4C2 Open-burning '!$C$11*$C$5</f>
        <v>0.28169628289357318</v>
      </c>
      <c r="V146" s="485">
        <f>F146*'4C2 Open-burning '!$C$9*'4C2 Open-burning '!$C$11*$C$5</f>
        <v>0</v>
      </c>
      <c r="W146" s="485">
        <f>G146*'4C2 Open-burning '!$C$9*'4C2 Open-burning '!$C$11*$C$5</f>
        <v>0</v>
      </c>
      <c r="X146" s="485">
        <f>H146*'4C2 Open-burning '!$C$9*'4C2 Open-burning '!$C$11*$C$5</f>
        <v>0</v>
      </c>
      <c r="Y146" s="485">
        <f>I146*'4C2 Open-burning '!$C$9*'4C2 Open-burning '!$C$11*$C$5</f>
        <v>1.1013356844310567</v>
      </c>
      <c r="Z146" s="486">
        <f t="shared" si="9"/>
        <v>3.4019053803835613</v>
      </c>
      <c r="AA146" s="487">
        <f>C146*'4C2 Open-burning '!$C$10*'4C2 Open-burning '!$C$11*$C$5*C$15</f>
        <v>9.1154895968861872E-3</v>
      </c>
      <c r="AB146" s="487">
        <f>D146*'4C2 Open-burning '!$C$10*'4C2 Open-burning '!$C$11*$C$5*D$15</f>
        <v>9.5202649851962549E-3</v>
      </c>
      <c r="AC146" s="487">
        <f>E146*'4C2 Open-burning '!$C$10*'4C2 Open-burning '!$C$11*$C$5*E$15</f>
        <v>5.8506151062511355E-3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2.2873894984337329E-2</v>
      </c>
      <c r="AH146" s="488">
        <f t="shared" si="10"/>
        <v>4.7360264672670904E-2</v>
      </c>
      <c r="AI146" s="1387"/>
      <c r="AJ146" s="1386"/>
      <c r="AK146" s="1387"/>
    </row>
    <row r="147" spans="1:39">
      <c r="A147" s="157">
        <f>'Input data'!A142</f>
        <v>2042</v>
      </c>
      <c r="B147" s="417">
        <f>'Recycling - Case 2'!AP122</f>
        <v>4.4368557891718778E-2</v>
      </c>
      <c r="C147" s="527">
        <f>'Recycling - Case 2'!$AK122*'Recycling - Case 2'!BM122*'4C2 Open-burning '!$B147</f>
        <v>252.70768958160568</v>
      </c>
      <c r="D147" s="528">
        <f>'Recycling - Case 2'!$AK122*'Recycling - Case 2'!BN122*'4C2 Open-burning '!$B147</f>
        <v>263.92923200037785</v>
      </c>
      <c r="E147" s="528">
        <f>'Recycling - Case 2'!$AK122*'Recycling - Case 2'!BO122*'4C2 Open-burning '!$B147</f>
        <v>72.087085536836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281.83573767051189</v>
      </c>
      <c r="J147" s="744">
        <f t="shared" si="12"/>
        <v>870.55974478933138</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0.3808101215403113</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9.7098048342244745</v>
      </c>
      <c r="R147" s="1382">
        <f t="shared" si="8"/>
        <v>10.090614955764785</v>
      </c>
      <c r="S147" s="485">
        <f>C147*'4C2 Open-burning '!$C$9*'4C2 Open-burning '!$C$11*$C$5</f>
        <v>0.98555998936826206</v>
      </c>
      <c r="T147" s="485">
        <f>D147*'4C2 Open-burning '!$C$9*'4C2 Open-burning '!$C$11*$C$5</f>
        <v>1.0293240048014736</v>
      </c>
      <c r="U147" s="485">
        <f>E147*'4C2 Open-burning '!$C$9*'4C2 Open-burning '!$C$11*$C$5</f>
        <v>0.2811396335936604</v>
      </c>
      <c r="V147" s="485">
        <f>F147*'4C2 Open-burning '!$C$9*'4C2 Open-burning '!$C$11*$C$5</f>
        <v>0</v>
      </c>
      <c r="W147" s="485">
        <f>G147*'4C2 Open-burning '!$C$9*'4C2 Open-burning '!$C$11*$C$5</f>
        <v>0</v>
      </c>
      <c r="X147" s="485">
        <f>H147*'4C2 Open-burning '!$C$9*'4C2 Open-burning '!$C$11*$C$5</f>
        <v>0</v>
      </c>
      <c r="Y147" s="485">
        <f>I147*'4C2 Open-burning '!$C$9*'4C2 Open-burning '!$C$11*$C$5</f>
        <v>1.0991593769149963</v>
      </c>
      <c r="Z147" s="486">
        <f t="shared" si="9"/>
        <v>3.3951830046783922</v>
      </c>
      <c r="AA147" s="487">
        <f>C147*'4C2 Open-burning '!$C$10*'4C2 Open-burning '!$C$11*$C$5*C$15</f>
        <v>9.097476824937804E-3</v>
      </c>
      <c r="AB147" s="487">
        <f>D147*'4C2 Open-burning '!$C$10*'4C2 Open-burning '!$C$11*$C$5*D$15</f>
        <v>9.5014523520136028E-3</v>
      </c>
      <c r="AC147" s="487">
        <f>E147*'4C2 Open-burning '!$C$10*'4C2 Open-burning '!$C$11*$C$5*E$15</f>
        <v>5.8390539284837147E-3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2.2828694751311461E-2</v>
      </c>
      <c r="AH147" s="488">
        <f t="shared" si="10"/>
        <v>4.7266677856746583E-2</v>
      </c>
      <c r="AI147" s="1387"/>
      <c r="AJ147" s="1386"/>
      <c r="AK147" s="1387"/>
    </row>
    <row r="148" spans="1:39">
      <c r="A148" s="157">
        <f>'Input data'!A143</f>
        <v>2043</v>
      </c>
      <c r="B148" s="417">
        <f>'Recycling - Case 2'!AP123</f>
        <v>4.414452242519154E-2</v>
      </c>
      <c r="C148" s="527">
        <f>'Recycling - Case 2'!$AK123*'Recycling - Case 2'!BM123*'4C2 Open-burning '!$B148</f>
        <v>252.21237864369809</v>
      </c>
      <c r="D148" s="528">
        <f>'Recycling - Case 2'!$AK123*'Recycling - Case 2'!BN123*'4C2 Open-burning '!$B148</f>
        <v>263.41192666764431</v>
      </c>
      <c r="E148" s="528">
        <f>'Recycling - Case 2'!$AK123*'Recycling - Case 2'!BO123*'4C2 Open-burning '!$B148</f>
        <v>71.945793746279918</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281.28333531270243</v>
      </c>
      <c r="J148" s="744">
        <f t="shared" si="12"/>
        <v>868.85343437032475</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0.38006372787584813</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9.6907734681932229</v>
      </c>
      <c r="R148" s="1382">
        <f t="shared" si="8"/>
        <v>10.070837196069071</v>
      </c>
      <c r="S148" s="485">
        <f>C148*'4C2 Open-burning '!$C$9*'4C2 Open-burning '!$C$11*$C$5</f>
        <v>0.98362827671042241</v>
      </c>
      <c r="T148" s="485">
        <f>D148*'4C2 Open-burning '!$C$9*'4C2 Open-burning '!$C$11*$C$5</f>
        <v>1.0273065140038129</v>
      </c>
      <c r="U148" s="485">
        <f>E148*'4C2 Open-burning '!$C$9*'4C2 Open-burning '!$C$11*$C$5</f>
        <v>0.28058859561049165</v>
      </c>
      <c r="V148" s="485">
        <f>F148*'4C2 Open-burning '!$C$9*'4C2 Open-burning '!$C$11*$C$5</f>
        <v>0</v>
      </c>
      <c r="W148" s="485">
        <f>G148*'4C2 Open-burning '!$C$9*'4C2 Open-burning '!$C$11*$C$5</f>
        <v>0</v>
      </c>
      <c r="X148" s="485">
        <f>H148*'4C2 Open-burning '!$C$9*'4C2 Open-burning '!$C$11*$C$5</f>
        <v>0</v>
      </c>
      <c r="Y148" s="485">
        <f>I148*'4C2 Open-burning '!$C$9*'4C2 Open-burning '!$C$11*$C$5</f>
        <v>1.0970050077195395</v>
      </c>
      <c r="Z148" s="486">
        <f t="shared" si="9"/>
        <v>3.3885283940442661</v>
      </c>
      <c r="AA148" s="487">
        <f>C148*'4C2 Open-burning '!$C$10*'4C2 Open-burning '!$C$11*$C$5*C$15</f>
        <v>9.0796456311731302E-3</v>
      </c>
      <c r="AB148" s="487">
        <f>D148*'4C2 Open-burning '!$C$10*'4C2 Open-burning '!$C$11*$C$5*D$15</f>
        <v>9.4828293600351943E-3</v>
      </c>
      <c r="AC148" s="487">
        <f>E148*'4C2 Open-burning '!$C$10*'4C2 Open-burning '!$C$11*$C$5*E$15</f>
        <v>5.8276092934486743E-3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2.2783950160328897E-2</v>
      </c>
      <c r="AH148" s="488">
        <f t="shared" si="10"/>
        <v>4.7174034444985899E-2</v>
      </c>
      <c r="AI148" s="1387"/>
      <c r="AJ148" s="1386"/>
      <c r="AK148" s="1387"/>
    </row>
    <row r="149" spans="1:39">
      <c r="A149" s="157">
        <f>'Input data'!A144</f>
        <v>2044</v>
      </c>
      <c r="B149" s="417">
        <f>'Recycling - Case 2'!AP124</f>
        <v>4.3921834607905885E-2</v>
      </c>
      <c r="C149" s="527">
        <f>'Recycling - Case 2'!$AK124*'Recycling - Case 2'!BM124*'4C2 Open-burning '!$B149</f>
        <v>251.7220450118551</v>
      </c>
      <c r="D149" s="528">
        <f>'Recycling - Case 2'!$AK124*'Recycling - Case 2'!BN124*'4C2 Open-burning '!$B149</f>
        <v>262.8998196593829</v>
      </c>
      <c r="E149" s="528">
        <f>'Recycling - Case 2'!$AK124*'Recycling - Case 2'!BO124*'4C2 Open-burning '!$B149</f>
        <v>71.805921775946217</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280.73648396415848</v>
      </c>
      <c r="J149" s="744">
        <f t="shared" si="12"/>
        <v>867.16427041134261</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0.3793248346104845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9.6719333455331871</v>
      </c>
      <c r="R149" s="1382">
        <f t="shared" si="8"/>
        <v>10.051258180143671</v>
      </c>
      <c r="S149" s="485">
        <f>C149*'4C2 Open-burning '!$C$9*'4C2 Open-burning '!$C$11*$C$5</f>
        <v>0.98171597554623469</v>
      </c>
      <c r="T149" s="485">
        <f>D149*'4C2 Open-burning '!$C$9*'4C2 Open-burning '!$C$11*$C$5</f>
        <v>1.0253092966715933</v>
      </c>
      <c r="U149" s="485">
        <f>E149*'4C2 Open-burning '!$C$9*'4C2 Open-burning '!$C$11*$C$5</f>
        <v>0.28004309492619023</v>
      </c>
      <c r="V149" s="485">
        <f>F149*'4C2 Open-burning '!$C$9*'4C2 Open-burning '!$C$11*$C$5</f>
        <v>0</v>
      </c>
      <c r="W149" s="485">
        <f>G149*'4C2 Open-burning '!$C$9*'4C2 Open-burning '!$C$11*$C$5</f>
        <v>0</v>
      </c>
      <c r="X149" s="485">
        <f>H149*'4C2 Open-burning '!$C$9*'4C2 Open-burning '!$C$11*$C$5</f>
        <v>0</v>
      </c>
      <c r="Y149" s="485">
        <f>I149*'4C2 Open-burning '!$C$9*'4C2 Open-burning '!$C$11*$C$5</f>
        <v>1.0948722874602179</v>
      </c>
      <c r="Z149" s="486">
        <f t="shared" si="9"/>
        <v>3.3819406546042359</v>
      </c>
      <c r="AA149" s="487">
        <f>C149*'4C2 Open-burning '!$C$10*'4C2 Open-burning '!$C$11*$C$5*C$15</f>
        <v>9.061993620426782E-3</v>
      </c>
      <c r="AB149" s="487">
        <f>D149*'4C2 Open-burning '!$C$10*'4C2 Open-burning '!$C$11*$C$5*D$15</f>
        <v>9.4643935077377856E-3</v>
      </c>
      <c r="AC149" s="487">
        <f>E149*'4C2 Open-burning '!$C$10*'4C2 Open-burning '!$C$11*$C$5*E$15</f>
        <v>5.8162796638516435E-3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2.2739655201096838E-2</v>
      </c>
      <c r="AH149" s="488">
        <f t="shared" si="10"/>
        <v>4.7082321993113047E-2</v>
      </c>
      <c r="AI149" s="1387"/>
      <c r="AJ149" s="1386"/>
      <c r="AK149" s="1387"/>
    </row>
    <row r="150" spans="1:39">
      <c r="A150" s="157">
        <f>'Input data'!A145</f>
        <v>2045</v>
      </c>
      <c r="B150" s="417">
        <f>'Recycling - Case 2'!AP125</f>
        <v>4.3700479411766198E-2</v>
      </c>
      <c r="C150" s="527">
        <f>'Recycling - Case 2'!$AK125*'Recycling - Case 2'!BM125*'4C2 Open-burning '!$B150</f>
        <v>251.2366232952497</v>
      </c>
      <c r="D150" s="528">
        <f>'Recycling - Case 2'!$AK125*'Recycling - Case 2'!BN125*'4C2 Open-burning '!$B150</f>
        <v>262.39284268107218</v>
      </c>
      <c r="E150" s="528">
        <f>'Recycling - Case 2'!$AK125*'Recycling - Case 2'!BO125*'4C2 Open-burning '!$B150</f>
        <v>71.667450972527831</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280.19511069685791</v>
      </c>
      <c r="J150" s="744">
        <f t="shared" si="12"/>
        <v>865.49202764570759</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0.37859334320551441</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9.6532819537281469</v>
      </c>
      <c r="R150" s="1382">
        <f t="shared" si="8"/>
        <v>10.031875296933661</v>
      </c>
      <c r="S150" s="485">
        <f>C150*'4C2 Open-burning '!$C$9*'4C2 Open-burning '!$C$11*$C$5</f>
        <v>0.9798228308514737</v>
      </c>
      <c r="T150" s="485">
        <f>D150*'4C2 Open-burning '!$C$9*'4C2 Open-burning '!$C$11*$C$5</f>
        <v>1.0233320864561815</v>
      </c>
      <c r="U150" s="485">
        <f>E150*'4C2 Open-burning '!$C$9*'4C2 Open-burning '!$C$11*$C$5</f>
        <v>0.27950305879285853</v>
      </c>
      <c r="V150" s="485">
        <f>F150*'4C2 Open-burning '!$C$9*'4C2 Open-burning '!$C$11*$C$5</f>
        <v>0</v>
      </c>
      <c r="W150" s="485">
        <f>G150*'4C2 Open-burning '!$C$9*'4C2 Open-burning '!$C$11*$C$5</f>
        <v>0</v>
      </c>
      <c r="X150" s="485">
        <f>H150*'4C2 Open-burning '!$C$9*'4C2 Open-burning '!$C$11*$C$5</f>
        <v>0</v>
      </c>
      <c r="Y150" s="485">
        <f>I150*'4C2 Open-burning '!$C$9*'4C2 Open-burning '!$C$11*$C$5</f>
        <v>1.0927609317177456</v>
      </c>
      <c r="Z150" s="486">
        <f t="shared" si="9"/>
        <v>3.3754189078182595</v>
      </c>
      <c r="AA150" s="487">
        <f>C150*'4C2 Open-burning '!$C$10*'4C2 Open-burning '!$C$11*$C$5*C$15</f>
        <v>9.0445184386289887E-3</v>
      </c>
      <c r="AB150" s="487">
        <f>D150*'4C2 Open-burning '!$C$10*'4C2 Open-burning '!$C$11*$C$5*D$15</f>
        <v>9.4461423365185971E-3</v>
      </c>
      <c r="AC150" s="487">
        <f>E150*'4C2 Open-burning '!$C$10*'4C2 Open-burning '!$C$11*$C$5*E$15</f>
        <v>5.8050635287747532E-3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2.269580396644549E-2</v>
      </c>
      <c r="AH150" s="488">
        <f t="shared" si="10"/>
        <v>4.699152827036783E-2</v>
      </c>
      <c r="AI150" s="1387"/>
      <c r="AJ150" s="1386"/>
      <c r="AK150" s="1387"/>
    </row>
    <row r="151" spans="1:39">
      <c r="A151" s="157">
        <f>'Input data'!A146</f>
        <v>2046</v>
      </c>
      <c r="B151" s="417">
        <f>'Recycling - Case 2'!AP126</f>
        <v>4.3519432813026476E-2</v>
      </c>
      <c r="C151" s="527">
        <f>'Recycling - Case 2'!$AK126*'Recycling - Case 2'!BM126*'4C2 Open-burning '!$B151</f>
        <v>250.84106476572728</v>
      </c>
      <c r="D151" s="528">
        <f>'Recycling - Case 2'!$AK126*'Recycling - Case 2'!BN126*'4C2 Open-burning '!$B151</f>
        <v>261.97971928510077</v>
      </c>
      <c r="E151" s="528">
        <f>'Recycling - Case 2'!$AK126*'Recycling - Case 2'!BO126*'4C2 Open-burning '!$B151</f>
        <v>71.554614431622738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279.75395858888533</v>
      </c>
      <c r="J151" s="744">
        <f t="shared" si="12"/>
        <v>864.12935707133613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0.37799726838106751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9.638083381304277</v>
      </c>
      <c r="R151" s="1382">
        <f t="shared" si="8"/>
        <v>10.016080649685344</v>
      </c>
      <c r="S151" s="485">
        <f>C151*'4C2 Open-burning '!$C$9*'4C2 Open-burning '!$C$11*$C$5</f>
        <v>0.97828015258633638</v>
      </c>
      <c r="T151" s="485">
        <f>D151*'4C2 Open-burning '!$C$9*'4C2 Open-burning '!$C$11*$C$5</f>
        <v>1.021720905211893</v>
      </c>
      <c r="U151" s="485">
        <f>E151*'4C2 Open-burning '!$C$9*'4C2 Open-burning '!$C$11*$C$5</f>
        <v>0.2790629962833287</v>
      </c>
      <c r="V151" s="485">
        <f>F151*'4C2 Open-burning '!$C$9*'4C2 Open-burning '!$C$11*$C$5</f>
        <v>0</v>
      </c>
      <c r="W151" s="485">
        <f>G151*'4C2 Open-burning '!$C$9*'4C2 Open-burning '!$C$11*$C$5</f>
        <v>0</v>
      </c>
      <c r="X151" s="485">
        <f>H151*'4C2 Open-burning '!$C$9*'4C2 Open-burning '!$C$11*$C$5</f>
        <v>0</v>
      </c>
      <c r="Y151" s="485">
        <f>I151*'4C2 Open-burning '!$C$9*'4C2 Open-burning '!$C$11*$C$5</f>
        <v>1.0910404384966528</v>
      </c>
      <c r="Z151" s="486">
        <f t="shared" si="9"/>
        <v>3.3701044925782111</v>
      </c>
      <c r="AA151" s="487">
        <f>C151*'4C2 Open-burning '!$C$10*'4C2 Open-burning '!$C$11*$C$5*C$15</f>
        <v>9.0302783315661835E-3</v>
      </c>
      <c r="AB151" s="487">
        <f>D151*'4C2 Open-burning '!$C$10*'4C2 Open-burning '!$C$11*$C$5*D$15</f>
        <v>9.4312698942636275E-3</v>
      </c>
      <c r="AC151" s="487">
        <f>E151*'4C2 Open-burning '!$C$10*'4C2 Open-burning '!$C$11*$C$5*E$15</f>
        <v>5.7959237689614411E-3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2.2660070645699713E-2</v>
      </c>
      <c r="AH151" s="488">
        <f t="shared" si="10"/>
        <v>4.6917542640490965E-2</v>
      </c>
      <c r="AI151" s="1387"/>
      <c r="AJ151" s="1386"/>
      <c r="AK151" s="1387"/>
    </row>
    <row r="152" spans="1:39">
      <c r="A152" s="157">
        <f>'Input data'!A147</f>
        <v>2047</v>
      </c>
      <c r="B152" s="417">
        <f>'Recycling - Case 2'!AP127</f>
        <v>4.3339269389548955E-2</v>
      </c>
      <c r="C152" s="527">
        <f>'Recycling - Case 2'!$AK127*'Recycling - Case 2'!BM127*'4C2 Open-burning '!$B152</f>
        <v>250.44874940831929</v>
      </c>
      <c r="D152" s="528">
        <f>'Recycling - Case 2'!$AK127*'Recycling - Case 2'!BN127*'4C2 Open-burning '!$B152</f>
        <v>261.56998307503892</v>
      </c>
      <c r="E152" s="528">
        <f>'Recycling - Case 2'!$AK127*'Recycling - Case 2'!BO127*'4C2 Open-burning '!$B152</f>
        <v>71.442703034016645</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279.31642347336265</v>
      </c>
      <c r="J152" s="744">
        <f t="shared" si="12"/>
        <v>862.77785899073751</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0.37740608075561771</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9.623009421504289</v>
      </c>
      <c r="R152" s="1382">
        <f t="shared" si="8"/>
        <v>10.000415502259907</v>
      </c>
      <c r="S152" s="485">
        <f>C152*'4C2 Open-burning '!$C$9*'4C2 Open-burning '!$C$11*$C$5</f>
        <v>0.9767501226924451</v>
      </c>
      <c r="T152" s="485">
        <f>D152*'4C2 Open-burning '!$C$9*'4C2 Open-burning '!$C$11*$C$5</f>
        <v>1.0201229339926516</v>
      </c>
      <c r="U152" s="485">
        <f>E152*'4C2 Open-burning '!$C$9*'4C2 Open-burning '!$C$11*$C$5</f>
        <v>0.27862654183266489</v>
      </c>
      <c r="V152" s="485">
        <f>F152*'4C2 Open-burning '!$C$9*'4C2 Open-burning '!$C$11*$C$5</f>
        <v>0</v>
      </c>
      <c r="W152" s="485">
        <f>G152*'4C2 Open-burning '!$C$9*'4C2 Open-burning '!$C$11*$C$5</f>
        <v>0</v>
      </c>
      <c r="X152" s="485">
        <f>H152*'4C2 Open-burning '!$C$9*'4C2 Open-burning '!$C$11*$C$5</f>
        <v>0</v>
      </c>
      <c r="Y152" s="485">
        <f>I152*'4C2 Open-burning '!$C$9*'4C2 Open-burning '!$C$11*$C$5</f>
        <v>1.0893340515461141</v>
      </c>
      <c r="Z152" s="486">
        <f t="shared" si="9"/>
        <v>3.3648336500638756</v>
      </c>
      <c r="AA152" s="487">
        <f>C152*'4C2 Open-burning '!$C$10*'4C2 Open-burning '!$C$11*$C$5*C$15</f>
        <v>9.0161549786994932E-3</v>
      </c>
      <c r="AB152" s="487">
        <f>D152*'4C2 Open-burning '!$C$10*'4C2 Open-burning '!$C$11*$C$5*D$15</f>
        <v>9.4165193907014E-3</v>
      </c>
      <c r="AC152" s="487">
        <f>E152*'4C2 Open-burning '!$C$10*'4C2 Open-burning '!$C$11*$C$5*E$15</f>
        <v>5.7868589457553479E-3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2.2624630301342374E-2</v>
      </c>
      <c r="AH152" s="488">
        <f t="shared" si="10"/>
        <v>4.6844163616498617E-2</v>
      </c>
      <c r="AI152" s="1387"/>
      <c r="AJ152" s="1386"/>
      <c r="AK152" s="1387"/>
    </row>
    <row r="153" spans="1:39">
      <c r="A153" s="157">
        <f>'Input data'!A148</f>
        <v>2048</v>
      </c>
      <c r="B153" s="417">
        <f>'Recycling - Case 2'!AP128</f>
        <v>4.3159981189882027E-2</v>
      </c>
      <c r="C153" s="527">
        <f>'Recycling - Case 2'!$AK128*'Recycling - Case 2'!BM128*'4C2 Open-burning '!$B153</f>
        <v>250.05964252346925</v>
      </c>
      <c r="D153" s="528">
        <f>'Recycling - Case 2'!$AK128*'Recycling - Case 2'!BN128*'4C2 Open-burning '!$B153</f>
        <v>261.16359781048862</v>
      </c>
      <c r="E153" s="528">
        <f>'Recycling - Case 2'!$AK128*'Recycling - Case 2'!BO128*'4C2 Open-burning '!$B153</f>
        <v>71.331706881356652</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278.88246665113081</v>
      </c>
      <c r="J153" s="744">
        <f t="shared" si="12"/>
        <v>861.43741386644535</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0.37681972803972991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9.6080587410647578</v>
      </c>
      <c r="R153" s="1382">
        <f t="shared" ref="R153:R155" si="13">SUM(K153:Q153)</f>
        <v>9.984878469104487</v>
      </c>
      <c r="S153" s="485">
        <f>C153*'4C2 Open-burning '!$C$9*'4C2 Open-burning '!$C$11*$C$5</f>
        <v>0.97523260584153004</v>
      </c>
      <c r="T153" s="485">
        <f>D153*'4C2 Open-burning '!$C$9*'4C2 Open-burning '!$C$11*$C$5</f>
        <v>1.0185380314609056</v>
      </c>
      <c r="U153" s="485">
        <f>E153*'4C2 Open-burning '!$C$9*'4C2 Open-burning '!$C$11*$C$5</f>
        <v>0.27819365683729091</v>
      </c>
      <c r="V153" s="485">
        <f>F153*'4C2 Open-burning '!$C$9*'4C2 Open-burning '!$C$11*$C$5</f>
        <v>0</v>
      </c>
      <c r="W153" s="485">
        <f>G153*'4C2 Open-burning '!$C$9*'4C2 Open-burning '!$C$11*$C$5</f>
        <v>0</v>
      </c>
      <c r="X153" s="485">
        <f>H153*'4C2 Open-burning '!$C$9*'4C2 Open-burning '!$C$11*$C$5</f>
        <v>0</v>
      </c>
      <c r="Y153" s="485">
        <f>I153*'4C2 Open-burning '!$C$9*'4C2 Open-burning '!$C$11*$C$5</f>
        <v>1.0876416199394101</v>
      </c>
      <c r="Z153" s="486">
        <f t="shared" ref="Z153:Z155" si="14">SUM(S153:Y153)</f>
        <v>3.3596059140791366</v>
      </c>
      <c r="AA153" s="487">
        <f>C153*'4C2 Open-burning '!$C$10*'4C2 Open-burning '!$C$11*$C$5*C$15</f>
        <v>9.0021471308448908E-3</v>
      </c>
      <c r="AB153" s="487">
        <f>D153*'4C2 Open-burning '!$C$10*'4C2 Open-burning '!$C$11*$C$5*D$15</f>
        <v>9.4018895211775907E-3</v>
      </c>
      <c r="AC153" s="487">
        <f>E153*'4C2 Open-burning '!$C$10*'4C2 Open-burning '!$C$11*$C$5*E$15</f>
        <v>5.7778682573898883E-3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2.2589479798741593E-2</v>
      </c>
      <c r="AH153" s="488">
        <f t="shared" ref="AH153:AH155" si="15">SUM(AA153:AG153)</f>
        <v>4.6771384708153965E-2</v>
      </c>
      <c r="AI153" s="1387"/>
      <c r="AJ153" s="1386"/>
      <c r="AK153" s="1387"/>
    </row>
    <row r="154" spans="1:39">
      <c r="A154" s="157">
        <f>'Input data'!A149</f>
        <v>2049</v>
      </c>
      <c r="B154" s="417">
        <f>'Recycling - Case 2'!AP129</f>
        <v>4.2981560380265717E-2</v>
      </c>
      <c r="C154" s="527">
        <f>'Recycling - Case 2'!$AK129*'Recycling - Case 2'!BM129*'4C2 Open-burning '!$B154</f>
        <v>249.67370989436483</v>
      </c>
      <c r="D154" s="528">
        <f>'Recycling - Case 2'!$AK129*'Recycling - Case 2'!BN129*'4C2 Open-burning '!$B154</f>
        <v>260.76052775523203</v>
      </c>
      <c r="E154" s="528">
        <f>'Recycling - Case 2'!$AK129*'Recycling - Case 2'!BO129*'4C2 Open-burning '!$B154</f>
        <v>71.221616212996821</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278.45204996141769</v>
      </c>
      <c r="J154" s="744">
        <f t="shared" si="12"/>
        <v>860.10790382401137</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0.37623815867142552</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9.5932300252707616</v>
      </c>
      <c r="R154" s="1382">
        <f t="shared" si="13"/>
        <v>9.9694681839421868</v>
      </c>
      <c r="S154" s="485">
        <f>C154*'4C2 Open-burning '!$C$9*'4C2 Open-burning '!$C$11*$C$5</f>
        <v>0.97372746858802284</v>
      </c>
      <c r="T154" s="485">
        <f>D154*'4C2 Open-burning '!$C$9*'4C2 Open-burning '!$C$11*$C$5</f>
        <v>1.0169660582454048</v>
      </c>
      <c r="U154" s="485">
        <f>E154*'4C2 Open-burning '!$C$9*'4C2 Open-burning '!$C$11*$C$5</f>
        <v>0.27776430323068757</v>
      </c>
      <c r="V154" s="485">
        <f>F154*'4C2 Open-burning '!$C$9*'4C2 Open-burning '!$C$11*$C$5</f>
        <v>0</v>
      </c>
      <c r="W154" s="485">
        <f>G154*'4C2 Open-burning '!$C$9*'4C2 Open-burning '!$C$11*$C$5</f>
        <v>0</v>
      </c>
      <c r="X154" s="485">
        <f>H154*'4C2 Open-burning '!$C$9*'4C2 Open-burning '!$C$11*$C$5</f>
        <v>0</v>
      </c>
      <c r="Y154" s="485">
        <f>I154*'4C2 Open-burning '!$C$9*'4C2 Open-burning '!$C$11*$C$5</f>
        <v>1.0859629948495289</v>
      </c>
      <c r="Z154" s="486">
        <f t="shared" si="14"/>
        <v>3.3544208249136438</v>
      </c>
      <c r="AA154" s="487">
        <f>C154*'4C2 Open-burning '!$C$10*'4C2 Open-burning '!$C$11*$C$5*C$15</f>
        <v>8.9882535561971334E-3</v>
      </c>
      <c r="AB154" s="487">
        <f>D154*'4C2 Open-burning '!$C$10*'4C2 Open-burning '!$C$11*$C$5*D$15</f>
        <v>9.3873789991883536E-3</v>
      </c>
      <c r="AC154" s="487">
        <f>E154*'4C2 Open-burning '!$C$10*'4C2 Open-burning '!$C$11*$C$5*E$15</f>
        <v>5.7689509132527426E-3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2.2554616046874833E-2</v>
      </c>
      <c r="AH154" s="488">
        <f t="shared" si="15"/>
        <v>4.669919951551306E-2</v>
      </c>
      <c r="AI154" s="1387"/>
      <c r="AJ154" s="1386"/>
      <c r="AK154" s="1387"/>
    </row>
    <row r="155" spans="1:39" ht="15.75" thickBot="1">
      <c r="A155" s="157">
        <f>'Input data'!A150</f>
        <v>2050</v>
      </c>
      <c r="B155" s="417">
        <f>'Recycling - Case 2'!AP130</f>
        <v>4.2803999242601289E-2</v>
      </c>
      <c r="C155" s="670">
        <f>'Recycling - Case 2'!$AK130*'Recycling - Case 2'!BM130*'4C2 Open-burning '!$B155</f>
        <v>249.29091777856027</v>
      </c>
      <c r="D155" s="667">
        <f>'Recycling - Case 2'!$AK130*'Recycling - Case 2'!BN130*'4C2 Open-burning '!$B155</f>
        <v>260.3607376684825</v>
      </c>
      <c r="E155" s="667">
        <f>'Recycling - Case 2'!$AK130*'Recycling - Case 2'!BO130*'4C2 Open-burning '!$B155</f>
        <v>71.112421403608479</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278.0251357724951</v>
      </c>
      <c r="J155" s="936">
        <f t="shared" si="12"/>
        <v>858.78921262314634</v>
      </c>
      <c r="K155" s="1383">
        <f>'4C2 Open-burning '!C$14*'4C2 Open-burning '!$C$5*'4C2 Open-burning '!$C$6*'4C2 Open-burning '!$C$7*C155</f>
        <v>0</v>
      </c>
      <c r="L155" s="1383">
        <f>'4C2 Open-burning '!D$14*'4C2 Open-burning '!$C$5*'4C2 Open-burning '!$C$6*'4C2 Open-burning '!$C$7*D155</f>
        <v>0</v>
      </c>
      <c r="M155" s="1383">
        <f>'4C2 Open-burning '!E$14*'4C2 Open-burning '!$C$5*'4C2 Open-burning '!$C$6*'4C2 Open-burning '!$C$7*E155</f>
        <v>0.37566132180355827</v>
      </c>
      <c r="N155" s="1383">
        <f>'4C2 Open-burning '!F$14*'4C2 Open-burning '!$C$5*'4C2 Open-burning '!$C$6*'4C2 Open-burning '!$C$7*F155</f>
        <v>0</v>
      </c>
      <c r="O155" s="1383">
        <f>'4C2 Open-burning '!G$14*'4C2 Open-burning '!$C$5*'4C2 Open-burning '!$C$6*'4C2 Open-burning '!$C$7*G155</f>
        <v>0</v>
      </c>
      <c r="P155" s="1383">
        <f>'4C2 Open-burning '!H$14*'4C2 Open-burning '!$C$5*'4C2 Open-burning '!$C$6*'4C2 Open-burning '!$C$7*H155</f>
        <v>0</v>
      </c>
      <c r="Q155" s="1383">
        <f>'4C2 Open-burning '!I$14*'4C2 Open-burning '!$C$5*'4C2 Open-burning '!$C$6*'4C2 Open-burning '!$C$7*I155</f>
        <v>9.5785219776340007</v>
      </c>
      <c r="R155" s="1384">
        <f t="shared" si="13"/>
        <v>9.9541832994375596</v>
      </c>
      <c r="S155" s="485">
        <f>C155*'4C2 Open-burning '!$C$9*'4C2 Open-burning '!$C$11*$C$5</f>
        <v>0.97223457933638491</v>
      </c>
      <c r="T155" s="485">
        <f>D155*'4C2 Open-burning '!$C$9*'4C2 Open-burning '!$C$11*$C$5</f>
        <v>1.0154068769070816</v>
      </c>
      <c r="U155" s="485">
        <f>E155*'4C2 Open-burning '!$C$9*'4C2 Open-burning '!$C$11*$C$5</f>
        <v>0.27733844347407305</v>
      </c>
      <c r="V155" s="485">
        <f>F155*'4C2 Open-burning '!$C$9*'4C2 Open-burning '!$C$11*$C$5</f>
        <v>0</v>
      </c>
      <c r="W155" s="485">
        <f>G155*'4C2 Open-burning '!$C$9*'4C2 Open-burning '!$C$11*$C$5</f>
        <v>0</v>
      </c>
      <c r="X155" s="485">
        <f>H155*'4C2 Open-burning '!$C$9*'4C2 Open-burning '!$C$11*$C$5</f>
        <v>0</v>
      </c>
      <c r="Y155" s="485">
        <f>I155*'4C2 Open-burning '!$C$9*'4C2 Open-burning '!$C$11*$C$5</f>
        <v>1.0842980295127309</v>
      </c>
      <c r="Z155" s="486">
        <f t="shared" si="14"/>
        <v>3.3492779292302703</v>
      </c>
      <c r="AA155" s="487">
        <f>C155*'4C2 Open-burning '!$C$10*'4C2 Open-burning '!$C$11*$C$5*C$15</f>
        <v>8.9744730400281702E-3</v>
      </c>
      <c r="AB155" s="487">
        <f>D155*'4C2 Open-burning '!$C$10*'4C2 Open-burning '!$C$11*$C$5*D$15</f>
        <v>9.3729865560653707E-3</v>
      </c>
      <c r="AC155" s="487">
        <f>E155*'4C2 Open-burning '!$C$10*'4C2 Open-burning '!$C$11*$C$5*E$15</f>
        <v>5.7601061336922865E-3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2.2520035997572106E-2</v>
      </c>
      <c r="AH155" s="488">
        <f t="shared" si="15"/>
        <v>4.6627601727357929E-2</v>
      </c>
      <c r="AI155" s="1387"/>
      <c r="AJ155" s="1386"/>
      <c r="AK155" s="1387"/>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6"/>
      <c r="AJ156" s="1386"/>
      <c r="AK156" s="1386"/>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0">
        <f>'4C2 Open-burning '!C$14*'4C2 Open-burning '!$C$5*'4C2 Open-burning '!$C$6*'4C2 Open-burning '!$C$7*C157</f>
        <v>0</v>
      </c>
      <c r="L157" s="1380">
        <f>'4C2 Open-burning '!D$14*'4C2 Open-burning '!$C$5*'4C2 Open-burning '!$C$6*'4C2 Open-burning '!$C$7*D157</f>
        <v>0</v>
      </c>
      <c r="M157" s="1380">
        <f>'4C2 Open-burning '!E$14*'4C2 Open-burning '!$C$5*'4C2 Open-burning '!$C$6*'4C2 Open-burning '!$C$7*E157</f>
        <v>1.2422577936755286</v>
      </c>
      <c r="N157" s="1380">
        <f>'4C2 Open-burning '!F$14*'4C2 Open-burning '!$C$5*'4C2 Open-burning '!$C$6*'4C2 Open-burning '!$C$7*F157</f>
        <v>0</v>
      </c>
      <c r="O157" s="1380">
        <f>'4C2 Open-burning '!G$14*'4C2 Open-burning '!$C$5*'4C2 Open-burning '!$C$6*'4C2 Open-burning '!$C$7*G157</f>
        <v>0</v>
      </c>
      <c r="P157" s="1380">
        <f>'4C2 Open-burning '!H$14*'4C2 Open-burning '!$C$5*'4C2 Open-burning '!$C$6*'4C2 Open-burning '!$C$7*H157</f>
        <v>0</v>
      </c>
      <c r="Q157" s="1380">
        <f>'4C2 Open-burning '!I$14*'4C2 Open-burning '!$C$5*'4C2 Open-burning '!$C$6*'4C2 Open-burning '!$C$7*I157</f>
        <v>31.674790264488347</v>
      </c>
      <c r="R157" s="1381">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6">
        <f>C157*'4C2 Open-burning '!$C$10*'4C2 Open-burning '!$C$11*$C$5*C$15</f>
        <v>2.9677287575364933E-2</v>
      </c>
      <c r="AB157" s="1627">
        <f>D157*'4C2 Open-burning '!$C$10*'4C2 Open-burning '!$C$11*$C$5*D$15</f>
        <v>3.0995114278432129E-2</v>
      </c>
      <c r="AC157" s="1627">
        <f>E157*'4C2 Open-burning '!$C$10*'4C2 Open-burning '!$C$11*$C$5*E$15</f>
        <v>1.9047839960269448E-2</v>
      </c>
      <c r="AD157" s="1627">
        <f>F157*'4C2 Open-burning '!$C$10*'4C2 Open-burning '!$C$11*$C$5*F$15</f>
        <v>0</v>
      </c>
      <c r="AE157" s="1627">
        <f>G157*'4C2 Open-burning '!$C$10*'4C2 Open-burning '!$C$11*$C$5*G$15</f>
        <v>0</v>
      </c>
      <c r="AF157" s="1627">
        <f>H157*'4C2 Open-burning '!$C$10*'4C2 Open-burning '!$C$11*$C$5*H$15</f>
        <v>0</v>
      </c>
      <c r="AG157" s="1627">
        <f>I157*'4C2 Open-burning '!$C$10*'4C2 Open-burning '!$C$11*$C$5*I$15</f>
        <v>7.4470510026226525E-2</v>
      </c>
      <c r="AH157" s="937">
        <f t="shared" ref="AH157:AH189" si="18">SUM(AA157:AG157)</f>
        <v>0.15419075184029302</v>
      </c>
      <c r="AI157" s="1386"/>
      <c r="AJ157" s="1386"/>
      <c r="AK157" s="1386"/>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2">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28">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6"/>
      <c r="AJ158" s="1386"/>
      <c r="AK158" s="1386"/>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2">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28">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6"/>
      <c r="AJ159" s="1386"/>
      <c r="AK159" s="1386"/>
      <c r="AL159" s="4"/>
      <c r="AM159" s="4"/>
    </row>
    <row r="160" spans="1:39">
      <c r="A160" s="959">
        <f>'Input data'!A121</f>
        <v>2021</v>
      </c>
      <c r="B160" s="560">
        <f>'Recycling - Case 3'!AP101</f>
        <v>0.108632640688443</v>
      </c>
      <c r="C160" s="527">
        <f>$B160*'Recycling - Case 3'!$AK101*'Recycling - Case 3'!BM101</f>
        <v>724.54347859846757</v>
      </c>
      <c r="D160" s="528">
        <f>$B160*'Recycling - Case 3'!$AK101*'Recycling - Case 3'!BN101</f>
        <v>756.71699651871234</v>
      </c>
      <c r="E160" s="528">
        <f>$B160*'Recycling - Case 3'!$AK101*'Recycling - Case 3'!BO101</f>
        <v>206.68238391700376</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808.05711176911302</v>
      </c>
      <c r="J160" s="744">
        <f t="shared" si="19"/>
        <v>2495.9999708032965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1.0918286285753207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27.83918361466948</v>
      </c>
      <c r="R160" s="1382">
        <f t="shared" si="16"/>
        <v>28.931012243244801</v>
      </c>
      <c r="S160" s="484">
        <f>C160*'4C2 Open-burning '!$C$9*'4C2 Open-burning '!$C$11*$C$5</f>
        <v>2.8257195665340236</v>
      </c>
      <c r="T160" s="485">
        <f>D160*'4C2 Open-burning '!$C$9*'4C2 Open-burning '!$C$11*$C$5</f>
        <v>2.9511962864229782</v>
      </c>
      <c r="U160" s="485">
        <f>E160*'4C2 Open-burning '!$C$9*'4C2 Open-burning '!$C$11*$C$5</f>
        <v>0.80606129727631459</v>
      </c>
      <c r="V160" s="485">
        <f>F160*'4C2 Open-burning '!$C$9*'4C2 Open-burning '!$C$11*$C$5</f>
        <v>0</v>
      </c>
      <c r="W160" s="485">
        <f>G160*'4C2 Open-burning '!$C$9*'4C2 Open-burning '!$C$11*$C$5</f>
        <v>0</v>
      </c>
      <c r="X160" s="485">
        <f>H160*'4C2 Open-burning '!$C$9*'4C2 Open-burning '!$C$11*$C$5</f>
        <v>0</v>
      </c>
      <c r="Y160" s="485">
        <f>I160*'4C2 Open-burning '!$C$9*'4C2 Open-burning '!$C$11*$C$5</f>
        <v>3.1514227358995401</v>
      </c>
      <c r="Z160" s="486">
        <f t="shared" si="17"/>
        <v>9.7343998861328558</v>
      </c>
      <c r="AA160" s="1628">
        <f>C160*'4C2 Open-burning '!$C$10*'4C2 Open-burning '!$C$11*$C$5*C$15</f>
        <v>2.6083565229544831E-2</v>
      </c>
      <c r="AB160" s="487">
        <f>D160*'4C2 Open-burning '!$C$10*'4C2 Open-burning '!$C$11*$C$5*D$15</f>
        <v>2.7241811874673644E-2</v>
      </c>
      <c r="AC160" s="487">
        <f>E160*'4C2 Open-burning '!$C$10*'4C2 Open-burning '!$C$11*$C$5*E$15</f>
        <v>1.6741273097277305E-2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6.5452626053298144E-2</v>
      </c>
      <c r="AH160" s="488">
        <f t="shared" si="18"/>
        <v>0.13551927625479393</v>
      </c>
      <c r="AI160" s="1386"/>
      <c r="AJ160" s="1386"/>
      <c r="AK160" s="1386"/>
      <c r="AL160" s="4"/>
      <c r="AM160" s="4"/>
    </row>
    <row r="161" spans="1:39">
      <c r="A161" s="959">
        <f>'Input data'!A122</f>
        <v>2022</v>
      </c>
      <c r="B161" s="560">
        <f>'Recycling - Case 3'!AP102</f>
        <v>9.5787234273176591E-2</v>
      </c>
      <c r="C161" s="527">
        <f>$B161*'Recycling - Case 3'!$AK102*'Recycling - Case 3'!BM102</f>
        <v>603.00531989916851</v>
      </c>
      <c r="D161" s="528">
        <f>$B161*'Recycling - Case 3'!$AK102*'Recycling - Case 3'!BN102</f>
        <v>629.78190824595356</v>
      </c>
      <c r="E161" s="528">
        <f>$B161*'Recycling - Case 3'!$AK102*'Recycling - Case 3'!BO102</f>
        <v>172.01255785570908</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672.51000329431815</v>
      </c>
      <c r="J161" s="744">
        <f t="shared" si="19"/>
        <v>2077.3097892951491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0.908680418630883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23.169314633495848</v>
      </c>
      <c r="R161" s="1382">
        <f t="shared" si="16"/>
        <v>24.077995052126731</v>
      </c>
      <c r="S161" s="484">
        <f>C161*'4C2 Open-burning '!$C$9*'4C2 Open-burning '!$C$11*$C$5</f>
        <v>2.3517207476067568</v>
      </c>
      <c r="T161" s="485">
        <f>D161*'4C2 Open-burning '!$C$9*'4C2 Open-burning '!$C$11*$C$5</f>
        <v>2.4561494421592189</v>
      </c>
      <c r="U161" s="485">
        <f>E161*'4C2 Open-burning '!$C$9*'4C2 Open-burning '!$C$11*$C$5</f>
        <v>0.67084897563726531</v>
      </c>
      <c r="V161" s="485">
        <f>F161*'4C2 Open-burning '!$C$9*'4C2 Open-burning '!$C$11*$C$5</f>
        <v>0</v>
      </c>
      <c r="W161" s="485">
        <f>G161*'4C2 Open-burning '!$C$9*'4C2 Open-burning '!$C$11*$C$5</f>
        <v>0</v>
      </c>
      <c r="X161" s="485">
        <f>H161*'4C2 Open-burning '!$C$9*'4C2 Open-burning '!$C$11*$C$5</f>
        <v>0</v>
      </c>
      <c r="Y161" s="485">
        <f>I161*'4C2 Open-burning '!$C$9*'4C2 Open-burning '!$C$11*$C$5</f>
        <v>2.6227890128478406</v>
      </c>
      <c r="Z161" s="486">
        <f t="shared" si="17"/>
        <v>8.1015081782510823</v>
      </c>
      <c r="AA161" s="1628">
        <f>C161*'4C2 Open-burning '!$C$10*'4C2 Open-burning '!$C$11*$C$5*C$15</f>
        <v>2.1708191516370063E-2</v>
      </c>
      <c r="AB161" s="487">
        <f>D161*'4C2 Open-burning '!$C$10*'4C2 Open-burning '!$C$11*$C$5*D$15</f>
        <v>2.2672148696854327E-2</v>
      </c>
      <c r="AC161" s="487">
        <f>E161*'4C2 Open-burning '!$C$10*'4C2 Open-burning '!$C$11*$C$5*E$15</f>
        <v>1.3933017186312433E-2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5.4473310266839763E-2</v>
      </c>
      <c r="AH161" s="488">
        <f t="shared" si="18"/>
        <v>0.11278666766637657</v>
      </c>
      <c r="AI161" s="1386"/>
      <c r="AJ161" s="1386"/>
      <c r="AK161" s="1386"/>
      <c r="AL161" s="4"/>
      <c r="AM161" s="4"/>
    </row>
    <row r="162" spans="1:39">
      <c r="A162" s="959">
        <f>'Input data'!A123</f>
        <v>2023</v>
      </c>
      <c r="B162" s="560">
        <f>'Recycling - Case 3'!AP103</f>
        <v>9.1876256960619254E-2</v>
      </c>
      <c r="C162" s="527">
        <f>$B162*'Recycling - Case 3'!$AK103*'Recycling - Case 3'!BM103</f>
        <v>571.86877898847058</v>
      </c>
      <c r="D162" s="528">
        <f>$B162*'Recycling - Case 3'!$AK103*'Recycling - Case 3'!BN103</f>
        <v>597.26274215601518</v>
      </c>
      <c r="E162" s="528">
        <f>$B162*'Recycling - Case 3'!$AK103*'Recycling - Case 3'!BO103</f>
        <v>163.1305863903103</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637.7845464211872</v>
      </c>
      <c r="J162" s="744">
        <f t="shared" si="19"/>
        <v>1970.0466539559834</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0.86176016088890883</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21.97295319330274</v>
      </c>
      <c r="R162" s="1382">
        <f t="shared" si="16"/>
        <v>22.834713354191649</v>
      </c>
      <c r="S162" s="484">
        <f>C162*'4C2 Open-burning '!$C$9*'4C2 Open-burning '!$C$11*$C$5</f>
        <v>2.2302882380550351</v>
      </c>
      <c r="T162" s="485">
        <f>D162*'4C2 Open-burning '!$C$9*'4C2 Open-burning '!$C$11*$C$5</f>
        <v>2.3293246944084589</v>
      </c>
      <c r="U162" s="485">
        <f>E162*'4C2 Open-burning '!$C$9*'4C2 Open-burning '!$C$11*$C$5</f>
        <v>0.63620928692221002</v>
      </c>
      <c r="V162" s="485">
        <f>F162*'4C2 Open-burning '!$C$9*'4C2 Open-burning '!$C$11*$C$5</f>
        <v>0</v>
      </c>
      <c r="W162" s="485">
        <f>G162*'4C2 Open-burning '!$C$9*'4C2 Open-burning '!$C$11*$C$5</f>
        <v>0</v>
      </c>
      <c r="X162" s="485">
        <f>H162*'4C2 Open-burning '!$C$9*'4C2 Open-burning '!$C$11*$C$5</f>
        <v>0</v>
      </c>
      <c r="Y162" s="485">
        <f>I162*'4C2 Open-burning '!$C$9*'4C2 Open-burning '!$C$11*$C$5</f>
        <v>2.4873597310426301</v>
      </c>
      <c r="Z162" s="486">
        <f t="shared" si="17"/>
        <v>7.6831819504283345</v>
      </c>
      <c r="AA162" s="1628">
        <f>C162*'4C2 Open-burning '!$C$10*'4C2 Open-burning '!$C$11*$C$5*C$15</f>
        <v>2.0587276043584939E-2</v>
      </c>
      <c r="AB162" s="487">
        <f>D162*'4C2 Open-burning '!$C$10*'4C2 Open-burning '!$C$11*$C$5*D$15</f>
        <v>2.1501458717616547E-2</v>
      </c>
      <c r="AC162" s="487">
        <f>E162*'4C2 Open-burning '!$C$10*'4C2 Open-burning '!$C$11*$C$5*E$15</f>
        <v>1.3213577497615132E-2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5.1660548260116165E-2</v>
      </c>
      <c r="AH162" s="488">
        <f t="shared" si="18"/>
        <v>0.10696286051893278</v>
      </c>
      <c r="AI162" s="1386"/>
      <c r="AJ162" s="1386"/>
      <c r="AK162" s="1386"/>
      <c r="AL162" s="4"/>
      <c r="AM162" s="4"/>
    </row>
    <row r="163" spans="1:39">
      <c r="A163" s="959">
        <f>'Input data'!A124</f>
        <v>2024</v>
      </c>
      <c r="B163" s="560">
        <f>'Recycling - Case 3'!AP104</f>
        <v>8.7781424771145714E-2</v>
      </c>
      <c r="C163" s="527">
        <f>$B163*'Recycling - Case 3'!$AK104*'Recycling - Case 3'!BM104</f>
        <v>540.19890619267005</v>
      </c>
      <c r="D163" s="528">
        <f>$B163*'Recycling - Case 3'!$AK104*'Recycling - Case 3'!BN104</f>
        <v>564.18656145734235</v>
      </c>
      <c r="E163" s="528">
        <f>$B163*'Recycling - Case 3'!$AK104*'Recycling - Case 3'!BO104</f>
        <v>154.09647732559836</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602.4642838042738</v>
      </c>
      <c r="J163" s="744">
        <f t="shared" si="19"/>
        <v>1860.9462287798842</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0.8140362149792989</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20.756099505624839</v>
      </c>
      <c r="R163" s="1382">
        <f t="shared" si="16"/>
        <v>21.570135720604139</v>
      </c>
      <c r="S163" s="484">
        <f>C163*'4C2 Open-burning '!$C$9*'4C2 Open-burning '!$C$11*$C$5</f>
        <v>2.1067757341514133</v>
      </c>
      <c r="T163" s="485">
        <f>D163*'4C2 Open-burning '!$C$9*'4C2 Open-burning '!$C$11*$C$5</f>
        <v>2.200327589683635</v>
      </c>
      <c r="U163" s="485">
        <f>E163*'4C2 Open-burning '!$C$9*'4C2 Open-burning '!$C$11*$C$5</f>
        <v>0.60097626156983353</v>
      </c>
      <c r="V163" s="485">
        <f>F163*'4C2 Open-burning '!$C$9*'4C2 Open-burning '!$C$11*$C$5</f>
        <v>0</v>
      </c>
      <c r="W163" s="485">
        <f>G163*'4C2 Open-burning '!$C$9*'4C2 Open-burning '!$C$11*$C$5</f>
        <v>0</v>
      </c>
      <c r="X163" s="485">
        <f>H163*'4C2 Open-burning '!$C$9*'4C2 Open-burning '!$C$11*$C$5</f>
        <v>0</v>
      </c>
      <c r="Y163" s="485">
        <f>I163*'4C2 Open-burning '!$C$9*'4C2 Open-burning '!$C$11*$C$5</f>
        <v>2.3496107068366676</v>
      </c>
      <c r="Z163" s="486">
        <f t="shared" si="17"/>
        <v>7.2576902922415494</v>
      </c>
      <c r="AA163" s="1628">
        <f>C163*'4C2 Open-burning '!$C$10*'4C2 Open-burning '!$C$11*$C$5*C$15</f>
        <v>1.9447160622936121E-2</v>
      </c>
      <c r="AB163" s="487">
        <f>D163*'4C2 Open-burning '!$C$10*'4C2 Open-burning '!$C$11*$C$5*D$15</f>
        <v>2.0310716212464323E-2</v>
      </c>
      <c r="AC163" s="487">
        <f>E163*'4C2 Open-burning '!$C$10*'4C2 Open-burning '!$C$11*$C$5*E$15</f>
        <v>1.2481814663373466E-2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4.8799606988146178E-2</v>
      </c>
      <c r="AH163" s="488">
        <f t="shared" si="18"/>
        <v>0.10103929848692009</v>
      </c>
      <c r="AI163" s="1386"/>
      <c r="AJ163" s="1386"/>
      <c r="AK163" s="1386"/>
      <c r="AL163" s="4"/>
      <c r="AM163" s="4"/>
    </row>
    <row r="164" spans="1:39">
      <c r="A164" s="959">
        <f>'Input data'!A125</f>
        <v>2025</v>
      </c>
      <c r="B164" s="560">
        <f>'Recycling - Case 3'!AP105</f>
        <v>8.3494201429216791E-2</v>
      </c>
      <c r="C164" s="527">
        <f>$B164*'Recycling - Case 3'!$AK105*'Recycling - Case 3'!BM105</f>
        <v>507.97627512742514</v>
      </c>
      <c r="D164" s="528">
        <f>$B164*'Recycling - Case 3'!$AK105*'Recycling - Case 3'!BN105</f>
        <v>530.53307713257948</v>
      </c>
      <c r="E164" s="528">
        <f>$B164*'Recycling - Case 3'!$AK105*'Recycling - Case 3'!BO105</f>
        <v>144.90468911500608</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566.52754990039557</v>
      </c>
      <c r="J164" s="744">
        <f t="shared" si="19"/>
        <v>1749.9415912754062</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0.76547930690649568</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19.518007149168426</v>
      </c>
      <c r="R164" s="1382">
        <f t="shared" si="16"/>
        <v>20.283486456074922</v>
      </c>
      <c r="S164" s="484">
        <f>C164*'4C2 Open-burning '!$C$9*'4C2 Open-burning '!$C$11*$C$5</f>
        <v>1.9811074729969578</v>
      </c>
      <c r="T164" s="485">
        <f>D164*'4C2 Open-burning '!$C$9*'4C2 Open-burning '!$C$11*$C$5</f>
        <v>2.0690790008170601</v>
      </c>
      <c r="U164" s="485">
        <f>E164*'4C2 Open-burning '!$C$9*'4C2 Open-burning '!$C$11*$C$5</f>
        <v>0.56512828754852362</v>
      </c>
      <c r="V164" s="485">
        <f>F164*'4C2 Open-burning '!$C$9*'4C2 Open-burning '!$C$11*$C$5</f>
        <v>0</v>
      </c>
      <c r="W164" s="485">
        <f>G164*'4C2 Open-burning '!$C$9*'4C2 Open-burning '!$C$11*$C$5</f>
        <v>0</v>
      </c>
      <c r="X164" s="485">
        <f>H164*'4C2 Open-burning '!$C$9*'4C2 Open-burning '!$C$11*$C$5</f>
        <v>0</v>
      </c>
      <c r="Y164" s="485">
        <f>I164*'4C2 Open-burning '!$C$9*'4C2 Open-burning '!$C$11*$C$5</f>
        <v>2.2094574446115427</v>
      </c>
      <c r="Z164" s="486">
        <f t="shared" si="17"/>
        <v>6.8247722059740834</v>
      </c>
      <c r="AA164" s="1628">
        <f>C164*'4C2 Open-burning '!$C$10*'4C2 Open-burning '!$C$11*$C$5*C$15</f>
        <v>1.8287145904587302E-2</v>
      </c>
      <c r="AB164" s="487">
        <f>D164*'4C2 Open-burning '!$C$10*'4C2 Open-burning '!$C$11*$C$5*D$15</f>
        <v>1.9099190776772856E-2</v>
      </c>
      <c r="AC164" s="487">
        <f>E164*'4C2 Open-burning '!$C$10*'4C2 Open-burning '!$C$11*$C$5*E$15</f>
        <v>1.1737279818315492E-2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4.5888731541932043E-2</v>
      </c>
      <c r="AH164" s="488">
        <f t="shared" si="18"/>
        <v>9.5012348041607686E-2</v>
      </c>
      <c r="AI164" s="1386"/>
      <c r="AJ164" s="1386"/>
      <c r="AK164" s="1386"/>
      <c r="AL164" s="4"/>
      <c r="AM164" s="4"/>
    </row>
    <row r="165" spans="1:39">
      <c r="A165" s="959">
        <f>'Input data'!A126</f>
        <v>2026</v>
      </c>
      <c r="B165" s="560">
        <f>'Recycling - Case 3'!AP106</f>
        <v>7.9101611218796483E-2</v>
      </c>
      <c r="C165" s="527">
        <f>$B165*'Recycling - Case 3'!$AK106*'Recycling - Case 3'!BM106</f>
        <v>475.46190657561885</v>
      </c>
      <c r="D165" s="528">
        <f>$B165*'Recycling - Case 3'!$AK106*'Recycling - Case 3'!BN106</f>
        <v>496.57490065182662</v>
      </c>
      <c r="E165" s="528">
        <f>$B165*'Recycling - Case 3'!$AK106*'Recycling - Case 3'!BO106</f>
        <v>135.62968022686783</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530.26545173923125</v>
      </c>
      <c r="J165" s="744">
        <f t="shared" si="19"/>
        <v>1637.9319391935446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0.71648277395366111</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18.268705343319994</v>
      </c>
      <c r="R165" s="1382">
        <f t="shared" si="16"/>
        <v>18.985188117273655</v>
      </c>
      <c r="S165" s="484">
        <f>C165*'4C2 Open-burning '!$C$9*'4C2 Open-burning '!$C$11*$C$5</f>
        <v>1.8543014356449135</v>
      </c>
      <c r="T165" s="485">
        <f>D165*'4C2 Open-burning '!$C$9*'4C2 Open-burning '!$C$11*$C$5</f>
        <v>1.9366421125421234</v>
      </c>
      <c r="U165" s="485">
        <f>E165*'4C2 Open-burning '!$C$9*'4C2 Open-burning '!$C$11*$C$5</f>
        <v>0.52895575288478458</v>
      </c>
      <c r="V165" s="485">
        <f>F165*'4C2 Open-burning '!$C$9*'4C2 Open-burning '!$C$11*$C$5</f>
        <v>0</v>
      </c>
      <c r="W165" s="485">
        <f>G165*'4C2 Open-burning '!$C$9*'4C2 Open-burning '!$C$11*$C$5</f>
        <v>0</v>
      </c>
      <c r="X165" s="485">
        <f>H165*'4C2 Open-burning '!$C$9*'4C2 Open-burning '!$C$11*$C$5</f>
        <v>0</v>
      </c>
      <c r="Y165" s="485">
        <f>I165*'4C2 Open-burning '!$C$9*'4C2 Open-burning '!$C$11*$C$5</f>
        <v>2.0680352617830016</v>
      </c>
      <c r="Z165" s="486">
        <f t="shared" si="17"/>
        <v>6.3879345628548228</v>
      </c>
      <c r="AA165" s="1628">
        <f>C165*'4C2 Open-burning '!$C$10*'4C2 Open-burning '!$C$11*$C$5*C$15</f>
        <v>1.7116628636722277E-2</v>
      </c>
      <c r="AB165" s="487">
        <f>D165*'4C2 Open-burning '!$C$10*'4C2 Open-burning '!$C$11*$C$5*D$15</f>
        <v>1.7876696423465756E-2</v>
      </c>
      <c r="AC165" s="487">
        <f>E165*'4C2 Open-burning '!$C$10*'4C2 Open-burning '!$C$11*$C$5*E$15</f>
        <v>1.0986004098376294E-2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4.2951501590877732E-2</v>
      </c>
      <c r="AH165" s="488">
        <f t="shared" si="18"/>
        <v>8.8930830749442052E-2</v>
      </c>
      <c r="AI165" s="1386"/>
      <c r="AJ165" s="1386"/>
      <c r="AK165" s="1386"/>
      <c r="AL165" s="4"/>
      <c r="AM165" s="4"/>
    </row>
    <row r="166" spans="1:39">
      <c r="A166" s="959">
        <f>'Input data'!A127</f>
        <v>2027</v>
      </c>
      <c r="B166" s="560">
        <f>'Recycling - Case 3'!AP107</f>
        <v>7.4490877934688157E-2</v>
      </c>
      <c r="C166" s="527">
        <f>$B166*'Recycling - Case 3'!$AK107*'Recycling - Case 3'!BM107</f>
        <v>442.31360987420572</v>
      </c>
      <c r="D166" s="528">
        <f>$B166*'Recycling - Case 3'!$AK107*'Recycling - Case 3'!BN107</f>
        <v>461.9546462978355</v>
      </c>
      <c r="E166" s="528">
        <f>$B166*'Recycling - Case 3'!$AK107*'Recycling - Case 3'!BO107</f>
        <v>126.17383777240413</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493.29635646226745</v>
      </c>
      <c r="J166" s="744">
        <f t="shared" si="19"/>
        <v>1523.7384504067127</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0.66653096237001297</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16.995046072838036</v>
      </c>
      <c r="R166" s="1382">
        <f t="shared" si="16"/>
        <v>17.661577035208051</v>
      </c>
      <c r="S166" s="484">
        <f>C166*'4C2 Open-burning '!$C$9*'4C2 Open-burning '!$C$11*$C$5</f>
        <v>1.7250230785094021</v>
      </c>
      <c r="T166" s="485">
        <f>D166*'4C2 Open-burning '!$C$9*'4C2 Open-burning '!$C$11*$C$5</f>
        <v>1.8016231205615583</v>
      </c>
      <c r="U166" s="485">
        <f>E166*'4C2 Open-burning '!$C$9*'4C2 Open-burning '!$C$11*$C$5</f>
        <v>0.49207796731237607</v>
      </c>
      <c r="V166" s="485">
        <f>F166*'4C2 Open-burning '!$C$9*'4C2 Open-burning '!$C$11*$C$5</f>
        <v>0</v>
      </c>
      <c r="W166" s="485">
        <f>G166*'4C2 Open-burning '!$C$9*'4C2 Open-burning '!$C$11*$C$5</f>
        <v>0</v>
      </c>
      <c r="X166" s="485">
        <f>H166*'4C2 Open-burning '!$C$9*'4C2 Open-burning '!$C$11*$C$5</f>
        <v>0</v>
      </c>
      <c r="Y166" s="485">
        <f>I166*'4C2 Open-burning '!$C$9*'4C2 Open-burning '!$C$11*$C$5</f>
        <v>1.9238557902028428</v>
      </c>
      <c r="Z166" s="486">
        <f t="shared" si="17"/>
        <v>5.9425799565861794</v>
      </c>
      <c r="AA166" s="1628">
        <f>C166*'4C2 Open-burning '!$C$10*'4C2 Open-burning '!$C$11*$C$5*C$15</f>
        <v>1.5923289955471404E-2</v>
      </c>
      <c r="AB166" s="487">
        <f>D166*'4C2 Open-burning '!$C$10*'4C2 Open-burning '!$C$11*$C$5*D$15</f>
        <v>1.6630367266722075E-2</v>
      </c>
      <c r="AC166" s="487">
        <f>E166*'4C2 Open-burning '!$C$10*'4C2 Open-burning '!$C$11*$C$5*E$15</f>
        <v>1.0220080859564733E-2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3.9957004873443669E-2</v>
      </c>
      <c r="AH166" s="488">
        <f t="shared" si="18"/>
        <v>8.2730742955201886E-2</v>
      </c>
      <c r="AI166" s="1386"/>
      <c r="AJ166" s="1386"/>
      <c r="AK166" s="1386"/>
      <c r="AL166" s="4"/>
      <c r="AM166" s="4"/>
    </row>
    <row r="167" spans="1:39">
      <c r="A167" s="959">
        <f>'Input data'!A128</f>
        <v>2028</v>
      </c>
      <c r="B167" s="560">
        <f>'Recycling - Case 3'!AP108</f>
        <v>6.9650668830486373E-2</v>
      </c>
      <c r="C167" s="527">
        <f>$B167*'Recycling - Case 3'!$AK108*'Recycling - Case 3'!BM108</f>
        <v>408.50849791562155</v>
      </c>
      <c r="D167" s="528">
        <f>$B167*'Recycling - Case 3'!$AK108*'Recycling - Case 3'!BN108</f>
        <v>426.64841065582618</v>
      </c>
      <c r="E167" s="528">
        <f>$B167*'Recycling - Case 3'!$AK108*'Recycling - Case 3'!BO108</f>
        <v>116.53063300338647</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455.59473890699655</v>
      </c>
      <c r="J167" s="744">
        <f t="shared" si="19"/>
        <v>1407.2822804818306</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0.61558938312900946</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15.696149944823844</v>
      </c>
      <c r="R167" s="1382">
        <f t="shared" si="16"/>
        <v>16.311739327952854</v>
      </c>
      <c r="S167" s="484">
        <f>C167*'4C2 Open-burning '!$C$9*'4C2 Open-burning '!$C$11*$C$5</f>
        <v>1.5931831418709239</v>
      </c>
      <c r="T167" s="485">
        <f>D167*'4C2 Open-burning '!$C$9*'4C2 Open-burning '!$C$11*$C$5</f>
        <v>1.663928801557722</v>
      </c>
      <c r="U167" s="485">
        <f>E167*'4C2 Open-burning '!$C$9*'4C2 Open-burning '!$C$11*$C$5</f>
        <v>0.4544694687132072</v>
      </c>
      <c r="V167" s="485">
        <f>F167*'4C2 Open-burning '!$C$9*'4C2 Open-burning '!$C$11*$C$5</f>
        <v>0</v>
      </c>
      <c r="W167" s="485">
        <f>G167*'4C2 Open-burning '!$C$9*'4C2 Open-burning '!$C$11*$C$5</f>
        <v>0</v>
      </c>
      <c r="X167" s="485">
        <f>H167*'4C2 Open-burning '!$C$9*'4C2 Open-burning '!$C$11*$C$5</f>
        <v>0</v>
      </c>
      <c r="Y167" s="485">
        <f>I167*'4C2 Open-burning '!$C$9*'4C2 Open-burning '!$C$11*$C$5</f>
        <v>1.7768194817372864</v>
      </c>
      <c r="Z167" s="486">
        <f t="shared" si="17"/>
        <v>5.48840089387914</v>
      </c>
      <c r="AA167" s="1628">
        <f>C167*'4C2 Open-burning '!$C$10*'4C2 Open-burning '!$C$11*$C$5*C$15</f>
        <v>1.4706305924962373E-2</v>
      </c>
      <c r="AB167" s="487">
        <f>D167*'4C2 Open-burning '!$C$10*'4C2 Open-burning '!$C$11*$C$5*D$15</f>
        <v>1.5359342783609745E-2</v>
      </c>
      <c r="AC167" s="487">
        <f>E167*'4C2 Open-burning '!$C$10*'4C2 Open-burning '!$C$11*$C$5*E$15</f>
        <v>9.4389812732743016E-3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3.6903173851466728E-2</v>
      </c>
      <c r="AH167" s="488">
        <f t="shared" si="18"/>
        <v>7.6407803833313151E-2</v>
      </c>
      <c r="AI167" s="1386"/>
      <c r="AJ167" s="1386"/>
      <c r="AK167" s="1386"/>
      <c r="AL167" s="4"/>
      <c r="AM167" s="4"/>
    </row>
    <row r="168" spans="1:39">
      <c r="A168" s="959">
        <f>'Input data'!A129</f>
        <v>2029</v>
      </c>
      <c r="B168" s="560">
        <f>'Recycling - Case 3'!AP109</f>
        <v>6.456893299470301E-2</v>
      </c>
      <c r="C168" s="527">
        <f>$B168*'Recycling - Case 3'!$AK109*'Recycling - Case 3'!BM109</f>
        <v>374.02265479868709</v>
      </c>
      <c r="D168" s="528">
        <f>$B168*'Recycling - Case 3'!$AK109*'Recycling - Case 3'!BN109</f>
        <v>390.63121583358941</v>
      </c>
      <c r="E168" s="528">
        <f>$B168*'Recycling - Case 3'!$AK109*'Recycling - Case 3'!BO109</f>
        <v>106.69324369918181</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417.13392653463643</v>
      </c>
      <c r="J168" s="744">
        <f t="shared" si="19"/>
        <v>1288.4810408660946</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0.56362199689504577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14.371098036971294</v>
      </c>
      <c r="R168" s="1382">
        <f t="shared" si="16"/>
        <v>14.93472003386634</v>
      </c>
      <c r="S168" s="484">
        <f>C168*'4C2 Open-burning '!$C$9*'4C2 Open-burning '!$C$11*$C$5</f>
        <v>1.4586883537148796</v>
      </c>
      <c r="T168" s="485">
        <f>D168*'4C2 Open-burning '!$C$9*'4C2 Open-burning '!$C$11*$C$5</f>
        <v>1.5234617417509988</v>
      </c>
      <c r="U168" s="485">
        <f>E168*'4C2 Open-burning '!$C$9*'4C2 Open-burning '!$C$11*$C$5</f>
        <v>0.41610365042680902</v>
      </c>
      <c r="V168" s="485">
        <f>F168*'4C2 Open-burning '!$C$9*'4C2 Open-burning '!$C$11*$C$5</f>
        <v>0</v>
      </c>
      <c r="W168" s="485">
        <f>G168*'4C2 Open-burning '!$C$9*'4C2 Open-burning '!$C$11*$C$5</f>
        <v>0</v>
      </c>
      <c r="X168" s="485">
        <f>H168*'4C2 Open-burning '!$C$9*'4C2 Open-burning '!$C$11*$C$5</f>
        <v>0</v>
      </c>
      <c r="Y168" s="485">
        <f>I168*'4C2 Open-burning '!$C$9*'4C2 Open-burning '!$C$11*$C$5</f>
        <v>1.6268223134850821</v>
      </c>
      <c r="Z168" s="486">
        <f t="shared" si="17"/>
        <v>5.0250760593777697</v>
      </c>
      <c r="AA168" s="1628">
        <f>C168*'4C2 Open-burning '!$C$10*'4C2 Open-burning '!$C$11*$C$5*C$15</f>
        <v>1.3464815572752734E-2</v>
      </c>
      <c r="AB168" s="487">
        <f>D168*'4C2 Open-burning '!$C$10*'4C2 Open-burning '!$C$11*$C$5*D$15</f>
        <v>1.4062723770009221E-2</v>
      </c>
      <c r="AC168" s="487">
        <f>E168*'4C2 Open-burning '!$C$10*'4C2 Open-burning '!$C$11*$C$5*E$15</f>
        <v>8.642152739633726E-3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3.3787848049305548E-2</v>
      </c>
      <c r="AH168" s="488">
        <f t="shared" si="18"/>
        <v>6.9957540131701218E-2</v>
      </c>
      <c r="AI168" s="1386"/>
      <c r="AJ168" s="1386"/>
      <c r="AK168" s="1386"/>
      <c r="AL168" s="4"/>
      <c r="AM168" s="4"/>
    </row>
    <row r="169" spans="1:39">
      <c r="A169" s="959">
        <f>'Input data'!A130</f>
        <v>2030</v>
      </c>
      <c r="B169" s="560">
        <f>'Recycling - Case 3'!AP110</f>
        <v>5.9232841965285256E-2</v>
      </c>
      <c r="C169" s="527">
        <f>$B169*'Recycling - Case 3'!$AK110*'Recycling - Case 3'!BM110</f>
        <v>338.83107576381155</v>
      </c>
      <c r="D169" s="528">
        <f>$B169*'Recycling - Case 3'!$AK110*'Recycling - Case 3'!BN110</f>
        <v>353.87694672949891</v>
      </c>
      <c r="E169" s="528">
        <f>$B169*'Recycling - Case 3'!$AK110*'Recycling - Case 3'!BO110</f>
        <v>96.654537032742255</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377.88603244203728</v>
      </c>
      <c r="J169" s="744">
        <f t="shared" si="19"/>
        <v>1167.2485919680898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0.51059112351064551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13.018929589693068</v>
      </c>
      <c r="R169" s="1382">
        <f t="shared" si="16"/>
        <v>13.529520713203713</v>
      </c>
      <c r="S169" s="484">
        <f>C169*'4C2 Open-burning '!$C$9*'4C2 Open-burning '!$C$11*$C$5</f>
        <v>1.3214411954788652</v>
      </c>
      <c r="T169" s="485">
        <f>D169*'4C2 Open-burning '!$C$9*'4C2 Open-burning '!$C$11*$C$5</f>
        <v>1.3801200922450456</v>
      </c>
      <c r="U169" s="485">
        <f>E169*'4C2 Open-burning '!$C$9*'4C2 Open-burning '!$C$11*$C$5</f>
        <v>0.37695269442769475</v>
      </c>
      <c r="V169" s="485">
        <f>F169*'4C2 Open-burning '!$C$9*'4C2 Open-burning '!$C$11*$C$5</f>
        <v>0</v>
      </c>
      <c r="W169" s="485">
        <f>G169*'4C2 Open-burning '!$C$9*'4C2 Open-burning '!$C$11*$C$5</f>
        <v>0</v>
      </c>
      <c r="X169" s="485">
        <f>H169*'4C2 Open-burning '!$C$9*'4C2 Open-burning '!$C$11*$C$5</f>
        <v>0</v>
      </c>
      <c r="Y169" s="485">
        <f>I169*'4C2 Open-burning '!$C$9*'4C2 Open-burning '!$C$11*$C$5</f>
        <v>1.4737555265239453</v>
      </c>
      <c r="Z169" s="486">
        <f t="shared" si="17"/>
        <v>4.5522695086755505</v>
      </c>
      <c r="AA169" s="1628">
        <f>C169*'4C2 Open-burning '!$C$10*'4C2 Open-burning '!$C$11*$C$5*C$15</f>
        <v>1.2197918727497216E-2</v>
      </c>
      <c r="AB169" s="487">
        <f>D169*'4C2 Open-burning '!$C$10*'4C2 Open-burning '!$C$11*$C$5*D$15</f>
        <v>1.2739570082261962E-2</v>
      </c>
      <c r="AC169" s="487">
        <f>E169*'4C2 Open-burning '!$C$10*'4C2 Open-burning '!$C$11*$C$5*E$15</f>
        <v>7.8290174996521224E-3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3.0608768627805014E-2</v>
      </c>
      <c r="AH169" s="488">
        <f t="shared" si="18"/>
        <v>6.3375274937216314E-2</v>
      </c>
      <c r="AI169" s="1386"/>
      <c r="AJ169" s="1386"/>
      <c r="AK169" s="1386"/>
      <c r="AL169" s="4"/>
      <c r="AM169" s="4"/>
    </row>
    <row r="170" spans="1:39">
      <c r="A170" s="959">
        <f>'Input data'!A131</f>
        <v>2031</v>
      </c>
      <c r="B170" s="560">
        <f>'Recycling - Case 3'!AP111</f>
        <v>5.3303987081268309E-2</v>
      </c>
      <c r="C170" s="527">
        <f>$B170*'Recycling - Case 3'!$AK111*'Recycling - Case 3'!BM111</f>
        <v>298.82604241262334</v>
      </c>
      <c r="D170" s="528">
        <f>$B170*'Recycling - Case 3'!$AK111*'Recycling - Case 3'!BN111</f>
        <v>312.09548077565427</v>
      </c>
      <c r="E170" s="528">
        <f>$B170*'Recycling - Case 3'!$AK111*'Recycling - Case 3'!BO111</f>
        <v>85.242750292632735</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333.26986700705311</v>
      </c>
      <c r="J170" s="744">
        <f t="shared" si="19"/>
        <v>1029.4341404879635</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0.45030676240587336</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11.481813458126993</v>
      </c>
      <c r="R170" s="1382">
        <f t="shared" si="16"/>
        <v>11.932120220532866</v>
      </c>
      <c r="S170" s="484">
        <f>C170*'4C2 Open-burning '!$C$9*'4C2 Open-burning '!$C$11*$C$5</f>
        <v>1.165421565409231</v>
      </c>
      <c r="T170" s="485">
        <f>D170*'4C2 Open-burning '!$C$9*'4C2 Open-burning '!$C$11*$C$5</f>
        <v>1.2171723750250516</v>
      </c>
      <c r="U170" s="485">
        <f>E170*'4C2 Open-burning '!$C$9*'4C2 Open-burning '!$C$11*$C$5</f>
        <v>0.33244672614126763</v>
      </c>
      <c r="V170" s="485">
        <f>F170*'4C2 Open-burning '!$C$9*'4C2 Open-burning '!$C$11*$C$5</f>
        <v>0</v>
      </c>
      <c r="W170" s="485">
        <f>G170*'4C2 Open-burning '!$C$9*'4C2 Open-burning '!$C$11*$C$5</f>
        <v>0</v>
      </c>
      <c r="X170" s="485">
        <f>H170*'4C2 Open-burning '!$C$9*'4C2 Open-burning '!$C$11*$C$5</f>
        <v>0</v>
      </c>
      <c r="Y170" s="485">
        <f>I170*'4C2 Open-burning '!$C$9*'4C2 Open-burning '!$C$11*$C$5</f>
        <v>1.299752481327507</v>
      </c>
      <c r="Z170" s="486">
        <f t="shared" si="17"/>
        <v>4.014793147903057</v>
      </c>
      <c r="AA170" s="1628">
        <f>C170*'4C2 Open-burning '!$C$10*'4C2 Open-burning '!$C$11*$C$5*C$15</f>
        <v>1.075773752685444E-2</v>
      </c>
      <c r="AB170" s="487">
        <f>D170*'4C2 Open-burning '!$C$10*'4C2 Open-burning '!$C$11*$C$5*D$15</f>
        <v>1.1235437307923554E-2</v>
      </c>
      <c r="AC170" s="487">
        <f>E170*'4C2 Open-burning '!$C$10*'4C2 Open-burning '!$C$11*$C$5*E$15</f>
        <v>6.9046627737032514E-3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2.6994859227571302E-2</v>
      </c>
      <c r="AH170" s="488">
        <f t="shared" si="18"/>
        <v>5.5892696836052552E-2</v>
      </c>
      <c r="AI170" s="1386"/>
      <c r="AJ170" s="1386"/>
      <c r="AK170" s="1386"/>
      <c r="AL170" s="4"/>
      <c r="AM170" s="4"/>
    </row>
    <row r="171" spans="1:39">
      <c r="A171" s="959">
        <f>'Input data'!A132</f>
        <v>2032</v>
      </c>
      <c r="B171" s="560">
        <f>'Recycling - Case 3'!AP112</f>
        <v>4.7169902017933425E-2</v>
      </c>
      <c r="C171" s="527">
        <f>$B171*'Recycling - Case 3'!$AK112*'Recycling - Case 3'!BM112</f>
        <v>259.06958659317866</v>
      </c>
      <c r="D171" s="528">
        <f>$B171*'Recycling - Case 3'!$AK112*'Recycling - Case 3'!BN112</f>
        <v>270.57363049537389</v>
      </c>
      <c r="E171" s="528">
        <f>$B171*'Recycling - Case 3'!$AK112*'Recycling - Case 3'!BO112</f>
        <v>73.90187247430157</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288.93093109422244</v>
      </c>
      <c r="J171" s="744">
        <f t="shared" si="19"/>
        <v>892.47602065707656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0.39039698760764446</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9.9542484380581513</v>
      </c>
      <c r="R171" s="1382">
        <f t="shared" si="16"/>
        <v>10.344645425665796</v>
      </c>
      <c r="S171" s="484">
        <f>C171*'4C2 Open-burning '!$C$9*'4C2 Open-burning '!$C$11*$C$5</f>
        <v>1.0103713877133966</v>
      </c>
      <c r="T171" s="485">
        <f>D171*'4C2 Open-burning '!$C$9*'4C2 Open-burning '!$C$11*$C$5</f>
        <v>1.055237158931958</v>
      </c>
      <c r="U171" s="485">
        <f>E171*'4C2 Open-burning '!$C$9*'4C2 Open-burning '!$C$11*$C$5</f>
        <v>0.28821730264977613</v>
      </c>
      <c r="V171" s="485">
        <f>F171*'4C2 Open-burning '!$C$9*'4C2 Open-burning '!$C$11*$C$5</f>
        <v>0</v>
      </c>
      <c r="W171" s="485">
        <f>G171*'4C2 Open-burning '!$C$9*'4C2 Open-burning '!$C$11*$C$5</f>
        <v>0</v>
      </c>
      <c r="X171" s="485">
        <f>H171*'4C2 Open-burning '!$C$9*'4C2 Open-burning '!$C$11*$C$5</f>
        <v>0</v>
      </c>
      <c r="Y171" s="485">
        <f>I171*'4C2 Open-burning '!$C$9*'4C2 Open-burning '!$C$11*$C$5</f>
        <v>1.1268306312674674</v>
      </c>
      <c r="Z171" s="486">
        <f t="shared" si="17"/>
        <v>3.4806564805625984</v>
      </c>
      <c r="AA171" s="1628">
        <f>C171*'4C2 Open-burning '!$C$10*'4C2 Open-burning '!$C$11*$C$5*C$15</f>
        <v>9.3265051173544306E-3</v>
      </c>
      <c r="AB171" s="487">
        <f>D171*'4C2 Open-burning '!$C$10*'4C2 Open-burning '!$C$11*$C$5*D$15</f>
        <v>9.7406506978334612E-3</v>
      </c>
      <c r="AC171" s="487">
        <f>E171*'4C2 Open-burning '!$C$10*'4C2 Open-burning '!$C$11*$C$5*E$15</f>
        <v>5.9860516704184265E-3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2.3403405418632013E-2</v>
      </c>
      <c r="AH171" s="488">
        <f t="shared" si="18"/>
        <v>4.8456612904238333E-2</v>
      </c>
      <c r="AI171" s="1386"/>
      <c r="AJ171" s="1386"/>
      <c r="AK171" s="1386"/>
      <c r="AL171" s="4"/>
      <c r="AM171" s="4"/>
    </row>
    <row r="172" spans="1:39">
      <c r="A172" s="959">
        <f>'Input data'!A133</f>
        <v>2033</v>
      </c>
      <c r="B172" s="560">
        <f>'Recycling - Case 3'!AP113</f>
        <v>4.6838844603991521E-2</v>
      </c>
      <c r="C172" s="527">
        <f>$B172*'Recycling - Case 3'!$AK113*'Recycling - Case 3'!BM113</f>
        <v>258.30163348813284</v>
      </c>
      <c r="D172" s="528">
        <f>$B172*'Recycling - Case 3'!$AK113*'Recycling - Case 3'!BN113</f>
        <v>269.77157625807456</v>
      </c>
      <c r="E172" s="528">
        <f>$B172*'Recycling - Case 3'!$AK113*'Recycling - Case 3'!BO113</f>
        <v>73.682807113594208</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288.0744607975912</v>
      </c>
      <c r="J172" s="744">
        <f t="shared" si="19"/>
        <v>889.83047765739275</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0.38923974417055729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9.9247413233986101</v>
      </c>
      <c r="R172" s="1382">
        <f t="shared" si="16"/>
        <v>10.313981067569168</v>
      </c>
      <c r="S172" s="484">
        <f>C172*'4C2 Open-burning '!$C$9*'4C2 Open-burning '!$C$11*$C$5</f>
        <v>1.007376370603718</v>
      </c>
      <c r="T172" s="485">
        <f>D172*'4C2 Open-burning '!$C$9*'4C2 Open-burning '!$C$11*$C$5</f>
        <v>1.0521091474064908</v>
      </c>
      <c r="U172" s="485">
        <f>E172*'4C2 Open-burning '!$C$9*'4C2 Open-burning '!$C$11*$C$5</f>
        <v>0.28736294774301735</v>
      </c>
      <c r="V172" s="485">
        <f>F172*'4C2 Open-burning '!$C$9*'4C2 Open-burning '!$C$11*$C$5</f>
        <v>0</v>
      </c>
      <c r="W172" s="485">
        <f>G172*'4C2 Open-burning '!$C$9*'4C2 Open-burning '!$C$11*$C$5</f>
        <v>0</v>
      </c>
      <c r="X172" s="485">
        <f>H172*'4C2 Open-burning '!$C$9*'4C2 Open-burning '!$C$11*$C$5</f>
        <v>0</v>
      </c>
      <c r="Y172" s="485">
        <f>I172*'4C2 Open-burning '!$C$9*'4C2 Open-burning '!$C$11*$C$5</f>
        <v>1.1234903971106056</v>
      </c>
      <c r="Z172" s="486">
        <f t="shared" si="17"/>
        <v>3.4703388628638314</v>
      </c>
      <c r="AA172" s="1628">
        <f>C172*'4C2 Open-burning '!$C$10*'4C2 Open-burning '!$C$11*$C$5*C$15</f>
        <v>9.2988588055727805E-3</v>
      </c>
      <c r="AB172" s="487">
        <f>D172*'4C2 Open-burning '!$C$10*'4C2 Open-burning '!$C$11*$C$5*D$15</f>
        <v>9.7117767452906834E-3</v>
      </c>
      <c r="AC172" s="487">
        <f>E172*'4C2 Open-burning '!$C$10*'4C2 Open-burning '!$C$11*$C$5*E$15</f>
        <v>5.968307376201131E-3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2.333403132460489E-2</v>
      </c>
      <c r="AH172" s="488">
        <f t="shared" si="18"/>
        <v>4.8312974251669485E-2</v>
      </c>
      <c r="AI172" s="1386"/>
      <c r="AJ172" s="1386"/>
      <c r="AK172" s="1386"/>
      <c r="AL172" s="4"/>
      <c r="AM172" s="4"/>
    </row>
    <row r="173" spans="1:39">
      <c r="A173" s="959">
        <f>'Input data'!A134</f>
        <v>2034</v>
      </c>
      <c r="B173" s="560">
        <f>'Recycling - Case 3'!AP114</f>
        <v>4.6510696882263718E-2</v>
      </c>
      <c r="C173" s="527">
        <f>$B173*'Recycling - Case 3'!$AK114*'Recycling - Case 3'!BM114</f>
        <v>257.54466088971469</v>
      </c>
      <c r="D173" s="528">
        <f>$B173*'Recycling - Case 3'!$AK114*'Recycling - Case 3'!BN114</f>
        <v>268.98099011929656</v>
      </c>
      <c r="E173" s="528">
        <f>$B173*'Recycling - Case 3'!$AK114*'Recycling - Case 3'!BO114</f>
        <v>73.466874038737828</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287.23023666248571</v>
      </c>
      <c r="J173" s="744">
        <f t="shared" si="19"/>
        <v>887.22276171023475</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0.38809904747199797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9.8956561134959564</v>
      </c>
      <c r="R173" s="1382">
        <f t="shared" si="16"/>
        <v>10.283755160967955</v>
      </c>
      <c r="S173" s="484">
        <f>C173*'4C2 Open-burning '!$C$9*'4C2 Open-burning '!$C$11*$C$5</f>
        <v>1.0044241774698872</v>
      </c>
      <c r="T173" s="485">
        <f>D173*'4C2 Open-burning '!$C$9*'4C2 Open-burning '!$C$11*$C$5</f>
        <v>1.0490258614652563</v>
      </c>
      <c r="U173" s="485">
        <f>E173*'4C2 Open-burning '!$C$9*'4C2 Open-burning '!$C$11*$C$5</f>
        <v>0.28652080875107749</v>
      </c>
      <c r="V173" s="485">
        <f>F173*'4C2 Open-burning '!$C$9*'4C2 Open-burning '!$C$11*$C$5</f>
        <v>0</v>
      </c>
      <c r="W173" s="485">
        <f>G173*'4C2 Open-burning '!$C$9*'4C2 Open-burning '!$C$11*$C$5</f>
        <v>0</v>
      </c>
      <c r="X173" s="485">
        <f>H173*'4C2 Open-burning '!$C$9*'4C2 Open-burning '!$C$11*$C$5</f>
        <v>0</v>
      </c>
      <c r="Y173" s="485">
        <f>I173*'4C2 Open-burning '!$C$9*'4C2 Open-burning '!$C$11*$C$5</f>
        <v>1.1201979229836942</v>
      </c>
      <c r="Z173" s="486">
        <f t="shared" si="17"/>
        <v>3.4601687706699158</v>
      </c>
      <c r="AA173" s="1628">
        <f>C173*'4C2 Open-burning '!$C$10*'4C2 Open-burning '!$C$11*$C$5*C$15</f>
        <v>9.2716077920297277E-3</v>
      </c>
      <c r="AB173" s="487">
        <f>D173*'4C2 Open-burning '!$C$10*'4C2 Open-burning '!$C$11*$C$5*D$15</f>
        <v>9.6833156442946763E-3</v>
      </c>
      <c r="AC173" s="487">
        <f>E173*'4C2 Open-burning '!$C$10*'4C2 Open-burning '!$C$11*$C$5*E$15</f>
        <v>5.950816797137764E-3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2.326564916966134E-2</v>
      </c>
      <c r="AH173" s="488">
        <f t="shared" si="18"/>
        <v>4.8171389403123509E-2</v>
      </c>
      <c r="AI173" s="1386"/>
      <c r="AJ173" s="1386"/>
      <c r="AK173" s="1386"/>
      <c r="AL173" s="4"/>
      <c r="AM173" s="4"/>
    </row>
    <row r="174" spans="1:39">
      <c r="A174" s="959">
        <f>'Input data'!A135</f>
        <v>2035</v>
      </c>
      <c r="B174" s="560">
        <f>'Recycling - Case 3'!AP115</f>
        <v>4.6185410753871683E-2</v>
      </c>
      <c r="C174" s="527">
        <f>$B174*'Recycling - Case 3'!$AK115*'Recycling - Case 3'!BM115</f>
        <v>256.79846171705356</v>
      </c>
      <c r="D174" s="528">
        <f>$B174*'Recycling - Case 3'!$AK115*'Recycling - Case 3'!BN115</f>
        <v>268.20165580269605</v>
      </c>
      <c r="E174" s="528">
        <f>$B174*'Recycling - Case 3'!$AK115*'Recycling - Case 3'!BO115</f>
        <v>73.25401417809725</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286.39802773910759</v>
      </c>
      <c r="J174" s="744">
        <f t="shared" si="19"/>
        <v>884.65215943695443</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0.38697458545778363</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9.8669848516677341</v>
      </c>
      <c r="R174" s="1382">
        <f t="shared" si="16"/>
        <v>10.253959437125518</v>
      </c>
      <c r="S174" s="484">
        <f>C174*'4C2 Open-burning '!$C$9*'4C2 Open-burning '!$C$11*$C$5</f>
        <v>1.0015140006965089</v>
      </c>
      <c r="T174" s="485">
        <f>D174*'4C2 Open-burning '!$C$9*'4C2 Open-burning '!$C$11*$C$5</f>
        <v>1.0459864576305145</v>
      </c>
      <c r="U174" s="485">
        <f>E174*'4C2 Open-burning '!$C$9*'4C2 Open-burning '!$C$11*$C$5</f>
        <v>0.28569065529457921</v>
      </c>
      <c r="V174" s="485">
        <f>F174*'4C2 Open-burning '!$C$9*'4C2 Open-burning '!$C$11*$C$5</f>
        <v>0</v>
      </c>
      <c r="W174" s="485">
        <f>G174*'4C2 Open-burning '!$C$9*'4C2 Open-burning '!$C$11*$C$5</f>
        <v>0</v>
      </c>
      <c r="X174" s="485">
        <f>H174*'4C2 Open-burning '!$C$9*'4C2 Open-burning '!$C$11*$C$5</f>
        <v>0</v>
      </c>
      <c r="Y174" s="485">
        <f>I174*'4C2 Open-burning '!$C$9*'4C2 Open-burning '!$C$11*$C$5</f>
        <v>1.1169523081825194</v>
      </c>
      <c r="Z174" s="486">
        <f t="shared" si="17"/>
        <v>3.450143421804122</v>
      </c>
      <c r="AA174" s="1628">
        <f>C174*'4C2 Open-burning '!$C$10*'4C2 Open-burning '!$C$11*$C$5*C$15</f>
        <v>9.2447446218139277E-3</v>
      </c>
      <c r="AB174" s="487">
        <f>D174*'4C2 Open-burning '!$C$10*'4C2 Open-burning '!$C$11*$C$5*D$15</f>
        <v>9.6552596088970571E-3</v>
      </c>
      <c r="AC174" s="487">
        <f>E174*'4C2 Open-burning '!$C$10*'4C2 Open-burning '!$C$11*$C$5*E$15</f>
        <v>5.9335751484258775E-3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2.3198240246867712E-2</v>
      </c>
      <c r="AH174" s="488">
        <f t="shared" si="18"/>
        <v>4.8031819626004571E-2</v>
      </c>
      <c r="AI174" s="1386"/>
      <c r="AJ174" s="1386"/>
      <c r="AK174" s="1386"/>
      <c r="AL174" s="4"/>
      <c r="AM174" s="4"/>
    </row>
    <row r="175" spans="1:39">
      <c r="A175" s="959">
        <f>'Input data'!A136</f>
        <v>2036</v>
      </c>
      <c r="B175" s="560">
        <f>'Recycling - Case 3'!AP116</f>
        <v>4.5908441368712229E-2</v>
      </c>
      <c r="C175" s="527">
        <f>$B175*'Recycling - Case 3'!$AK116*'Recycling - Case 3'!BM116</f>
        <v>256.16638525188546</v>
      </c>
      <c r="D175" s="528">
        <f>$B175*'Recycling - Case 3'!$AK116*'Recycling - Case 3'!BN116</f>
        <v>267.54151183836512</v>
      </c>
      <c r="E175" s="528">
        <f>$B175*'Recycling - Case 3'!$AK116*'Recycling - Case 3'!BO116</f>
        <v>73.073708821003336</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285.69309573992803</v>
      </c>
      <c r="J175" s="744">
        <f t="shared" si="19"/>
        <v>882.47470165118193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0.38602209716618507</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9.8426985344319995</v>
      </c>
      <c r="R175" s="1382">
        <f t="shared" si="16"/>
        <v>10.228720631598184</v>
      </c>
      <c r="S175" s="484">
        <f>C175*'4C2 Open-burning '!$C$9*'4C2 Open-burning '!$C$11*$C$5</f>
        <v>0.99904890248235312</v>
      </c>
      <c r="T175" s="485">
        <f>D175*'4C2 Open-burning '!$C$9*'4C2 Open-burning '!$C$11*$C$5</f>
        <v>1.0434118961696239</v>
      </c>
      <c r="U175" s="485">
        <f>E175*'4C2 Open-burning '!$C$9*'4C2 Open-burning '!$C$11*$C$5</f>
        <v>0.28498746440191297</v>
      </c>
      <c r="V175" s="485">
        <f>F175*'4C2 Open-burning '!$C$9*'4C2 Open-burning '!$C$11*$C$5</f>
        <v>0</v>
      </c>
      <c r="W175" s="485">
        <f>G175*'4C2 Open-burning '!$C$9*'4C2 Open-burning '!$C$11*$C$5</f>
        <v>0</v>
      </c>
      <c r="X175" s="485">
        <f>H175*'4C2 Open-burning '!$C$9*'4C2 Open-burning '!$C$11*$C$5</f>
        <v>0</v>
      </c>
      <c r="Y175" s="485">
        <f>I175*'4C2 Open-burning '!$C$9*'4C2 Open-burning '!$C$11*$C$5</f>
        <v>1.1142030733857191</v>
      </c>
      <c r="Z175" s="486">
        <f t="shared" si="17"/>
        <v>3.4416513364396093</v>
      </c>
      <c r="AA175" s="1628">
        <f>C175*'4C2 Open-burning '!$C$10*'4C2 Open-burning '!$C$11*$C$5*C$15</f>
        <v>9.2219898690678783E-3</v>
      </c>
      <c r="AB175" s="487">
        <f>D175*'4C2 Open-burning '!$C$10*'4C2 Open-burning '!$C$11*$C$5*D$15</f>
        <v>9.6314944261811433E-3</v>
      </c>
      <c r="AC175" s="487">
        <f>E175*'4C2 Open-burning '!$C$10*'4C2 Open-burning '!$C$11*$C$5*E$15</f>
        <v>5.9189704145012701E-3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2.3141140754934165E-2</v>
      </c>
      <c r="AH175" s="488">
        <f t="shared" si="18"/>
        <v>4.7913595464684461E-2</v>
      </c>
      <c r="AI175" s="1386"/>
      <c r="AJ175" s="1386"/>
      <c r="AK175" s="1386"/>
      <c r="AL175" s="4"/>
      <c r="AM175" s="4"/>
    </row>
    <row r="176" spans="1:39">
      <c r="A176" s="959">
        <f>'Input data'!A137</f>
        <v>2037</v>
      </c>
      <c r="B176" s="560">
        <f>'Recycling - Case 3'!AP117</f>
        <v>4.5633516922949667E-2</v>
      </c>
      <c r="C176" s="527">
        <f>$B176*'Recycling - Case 3'!$AK117*'Recycling - Case 3'!BM117</f>
        <v>255.5419728933048</v>
      </c>
      <c r="D176" s="528">
        <f>$B176*'Recycling - Case 3'!$AK117*'Recycling - Case 3'!BN117</f>
        <v>266.88937230701725</v>
      </c>
      <c r="E176" s="528">
        <f>$B176*'Recycling - Case 3'!$AK117*'Recycling - Case 3'!BO117</f>
        <v>72.895589717553079</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284.9967112413695</v>
      </c>
      <c r="J176" s="744">
        <f t="shared" si="19"/>
        <v>880.32364615924462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0.38508115806553461</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9.818706695687661</v>
      </c>
      <c r="R176" s="1382">
        <f t="shared" si="16"/>
        <v>10.203787853753196</v>
      </c>
      <c r="S176" s="484">
        <f>C176*'4C2 Open-burning '!$C$9*'4C2 Open-burning '!$C$11*$C$5</f>
        <v>0.99661369428388857</v>
      </c>
      <c r="T176" s="485">
        <f>D176*'4C2 Open-burning '!$C$9*'4C2 Open-burning '!$C$11*$C$5</f>
        <v>1.0408685519973673</v>
      </c>
      <c r="U176" s="485">
        <f>E176*'4C2 Open-burning '!$C$9*'4C2 Open-burning '!$C$11*$C$5</f>
        <v>0.28429279989845696</v>
      </c>
      <c r="V176" s="485">
        <f>F176*'4C2 Open-burning '!$C$9*'4C2 Open-burning '!$C$11*$C$5</f>
        <v>0</v>
      </c>
      <c r="W176" s="485">
        <f>G176*'4C2 Open-burning '!$C$9*'4C2 Open-burning '!$C$11*$C$5</f>
        <v>0</v>
      </c>
      <c r="X176" s="485">
        <f>H176*'4C2 Open-burning '!$C$9*'4C2 Open-burning '!$C$11*$C$5</f>
        <v>0</v>
      </c>
      <c r="Y176" s="485">
        <f>I176*'4C2 Open-burning '!$C$9*'4C2 Open-burning '!$C$11*$C$5</f>
        <v>1.111487173841341</v>
      </c>
      <c r="Z176" s="486">
        <f t="shared" si="17"/>
        <v>3.4332622200210539</v>
      </c>
      <c r="AA176" s="1628">
        <f>C176*'4C2 Open-burning '!$C$10*'4C2 Open-burning '!$C$11*$C$5*C$15</f>
        <v>9.1995110241589722E-3</v>
      </c>
      <c r="AB176" s="487">
        <f>D176*'4C2 Open-burning '!$C$10*'4C2 Open-burning '!$C$11*$C$5*D$15</f>
        <v>9.6080174030526207E-3</v>
      </c>
      <c r="AC176" s="487">
        <f>E176*'4C2 Open-burning '!$C$10*'4C2 Open-burning '!$C$11*$C$5*E$15</f>
        <v>5.9045427671217997E-3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2.3084733610550925E-2</v>
      </c>
      <c r="AH176" s="488">
        <f t="shared" si="18"/>
        <v>4.7796804804884317E-2</v>
      </c>
      <c r="AI176" s="1386"/>
      <c r="AJ176" s="1386"/>
      <c r="AK176" s="1386"/>
      <c r="AL176" s="4"/>
      <c r="AM176" s="4"/>
    </row>
    <row r="177" spans="1:39">
      <c r="A177" s="959">
        <f>'Input data'!A138</f>
        <v>2038</v>
      </c>
      <c r="B177" s="560">
        <f>'Recycling - Case 3'!AP118</f>
        <v>4.5360609115513109E-2</v>
      </c>
      <c r="C177" s="527">
        <f>$B177*'Recycling - Case 3'!$AK118*'Recycling - Case 3'!BM118</f>
        <v>254.92510239998455</v>
      </c>
      <c r="D177" s="528">
        <f>$B177*'Recycling - Case 3'!$AK118*'Recycling - Case 3'!BN118</f>
        <v>266.24510953917166</v>
      </c>
      <c r="E177" s="528">
        <f>$B177*'Recycling - Case 3'!$AK118*'Recycling - Case 3'!BO118</f>
        <v>72.719621997335494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284.30873791210541</v>
      </c>
      <c r="J177" s="744">
        <f t="shared" si="19"/>
        <v>878.19857184859711</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0.38415158394800436</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9.7950046385478551</v>
      </c>
      <c r="R177" s="1382">
        <f t="shared" si="16"/>
        <v>10.179156222495859</v>
      </c>
      <c r="S177" s="484">
        <f>C177*'4C2 Open-burning '!$C$9*'4C2 Open-burning '!$C$11*$C$5</f>
        <v>0.99420789935993958</v>
      </c>
      <c r="T177" s="485">
        <f>D177*'4C2 Open-burning '!$C$9*'4C2 Open-burning '!$C$11*$C$5</f>
        <v>1.0383559272027696</v>
      </c>
      <c r="U177" s="485">
        <f>E177*'4C2 Open-burning '!$C$9*'4C2 Open-burning '!$C$11*$C$5</f>
        <v>0.28360652578960843</v>
      </c>
      <c r="V177" s="485">
        <f>F177*'4C2 Open-burning '!$C$9*'4C2 Open-burning '!$C$11*$C$5</f>
        <v>0</v>
      </c>
      <c r="W177" s="485">
        <f>G177*'4C2 Open-burning '!$C$9*'4C2 Open-burning '!$C$11*$C$5</f>
        <v>0</v>
      </c>
      <c r="X177" s="485">
        <f>H177*'4C2 Open-burning '!$C$9*'4C2 Open-burning '!$C$11*$C$5</f>
        <v>0</v>
      </c>
      <c r="Y177" s="485">
        <f>I177*'4C2 Open-burning '!$C$9*'4C2 Open-burning '!$C$11*$C$5</f>
        <v>1.108804077857211</v>
      </c>
      <c r="Z177" s="486">
        <f t="shared" si="17"/>
        <v>3.4249744302095286</v>
      </c>
      <c r="AA177" s="1628">
        <f>C177*'4C2 Open-burning '!$C$10*'4C2 Open-burning '!$C$11*$C$5*C$15</f>
        <v>9.1773036863994455E-3</v>
      </c>
      <c r="AB177" s="487">
        <f>D177*'4C2 Open-burning '!$C$10*'4C2 Open-burning '!$C$11*$C$5*D$15</f>
        <v>9.5848239434101808E-3</v>
      </c>
      <c r="AC177" s="487">
        <f>E177*'4C2 Open-burning '!$C$10*'4C2 Open-burning '!$C$11*$C$5*E$15</f>
        <v>5.8902893817841745E-3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2.3029007770880537E-2</v>
      </c>
      <c r="AH177" s="488">
        <f t="shared" si="18"/>
        <v>4.7681424782474335E-2</v>
      </c>
      <c r="AI177" s="1386"/>
      <c r="AJ177" s="1386"/>
      <c r="AK177" s="1386"/>
      <c r="AL177" s="4"/>
      <c r="AM177" s="4"/>
    </row>
    <row r="178" spans="1:39">
      <c r="A178" s="959">
        <f>'Input data'!A139</f>
        <v>2039</v>
      </c>
      <c r="B178" s="560">
        <f>'Recycling - Case 3'!AP119</f>
        <v>4.5089690262495104E-2</v>
      </c>
      <c r="C178" s="527">
        <f>$B178*'Recycling - Case 3'!$AK119*'Recycling - Case 3'!BM119</f>
        <v>254.31565406930503</v>
      </c>
      <c r="D178" s="528">
        <f>$B178*'Recycling - Case 3'!$AK119*'Recycling - Case 3'!BN119</f>
        <v>265.60859851678663</v>
      </c>
      <c r="E178" s="528">
        <f>$B178*'Recycling - Case 3'!$AK119*'Recycling - Case 3'!BO119</f>
        <v>72.545771514128134</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283.62904225213759</v>
      </c>
      <c r="J178" s="744">
        <f t="shared" si="19"/>
        <v>876.09906635235734</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0.38323319443139386</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9.7715877636706434</v>
      </c>
      <c r="R178" s="1382">
        <f t="shared" si="16"/>
        <v>10.154820958102038</v>
      </c>
      <c r="S178" s="484">
        <f>C178*'4C2 Open-burning '!$C$9*'4C2 Open-burning '!$C$11*$C$5</f>
        <v>0.99183105087028967</v>
      </c>
      <c r="T178" s="485">
        <f>D178*'4C2 Open-burning '!$C$9*'4C2 Open-burning '!$C$11*$C$5</f>
        <v>1.0358735342154677</v>
      </c>
      <c r="U178" s="485">
        <f>E178*'4C2 Open-burning '!$C$9*'4C2 Open-burning '!$C$11*$C$5</f>
        <v>0.28292850890509968</v>
      </c>
      <c r="V178" s="485">
        <f>F178*'4C2 Open-burning '!$C$9*'4C2 Open-burning '!$C$11*$C$5</f>
        <v>0</v>
      </c>
      <c r="W178" s="485">
        <f>G178*'4C2 Open-burning '!$C$9*'4C2 Open-burning '!$C$11*$C$5</f>
        <v>0</v>
      </c>
      <c r="X178" s="485">
        <f>H178*'4C2 Open-burning '!$C$9*'4C2 Open-burning '!$C$11*$C$5</f>
        <v>0</v>
      </c>
      <c r="Y178" s="485">
        <f>I178*'4C2 Open-burning '!$C$9*'4C2 Open-burning '!$C$11*$C$5</f>
        <v>1.1061532647833365</v>
      </c>
      <c r="Z178" s="486">
        <f t="shared" si="17"/>
        <v>3.4167863587741936</v>
      </c>
      <c r="AA178" s="1628">
        <f>C178*'4C2 Open-burning '!$C$10*'4C2 Open-burning '!$C$11*$C$5*C$15</f>
        <v>9.1553635464949809E-3</v>
      </c>
      <c r="AB178" s="487">
        <f>D178*'4C2 Open-burning '!$C$10*'4C2 Open-burning '!$C$11*$C$5*D$15</f>
        <v>9.5619095466043195E-3</v>
      </c>
      <c r="AC178" s="487">
        <f>E178*'4C2 Open-burning '!$C$10*'4C2 Open-burning '!$C$11*$C$5*E$15</f>
        <v>5.8762074926443789E-3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2.2973952422423144E-2</v>
      </c>
      <c r="AH178" s="488">
        <f t="shared" si="18"/>
        <v>4.7567433008166821E-2</v>
      </c>
      <c r="AI178" s="1386"/>
      <c r="AJ178" s="1386"/>
      <c r="AK178" s="1386"/>
      <c r="AL178" s="4"/>
      <c r="AM178" s="4"/>
    </row>
    <row r="179" spans="1:39">
      <c r="A179" s="959">
        <f>'Input data'!A140</f>
        <v>2040</v>
      </c>
      <c r="B179" s="560">
        <f>'Recycling - Case 3'!AP120</f>
        <v>4.4820733281477031E-2</v>
      </c>
      <c r="C179" s="527">
        <f>$B179*'Recycling - Case 3'!$AK120*'Recycling - Case 3'!BM120</f>
        <v>253.71351067170065</v>
      </c>
      <c r="D179" s="528">
        <f>$B179*'Recycling - Case 3'!$AK120*'Recycling - Case 3'!BN120</f>
        <v>264.97971680469095</v>
      </c>
      <c r="E179" s="528">
        <f>$B179*'Recycling - Case 3'!$AK120*'Recycling - Case 3'!BO120</f>
        <v>72.374004827168932</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282.95749351957534</v>
      </c>
      <c r="J179" s="744">
        <f t="shared" si="19"/>
        <v>874.0247258231359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0.38232581286019568</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9.7484515667364082</v>
      </c>
      <c r="R179" s="1382">
        <f t="shared" si="16"/>
        <v>10.130777379596603</v>
      </c>
      <c r="S179" s="484">
        <f>C179*'4C2 Open-burning '!$C$9*'4C2 Open-burning '!$C$11*$C$5</f>
        <v>0.98948269161963232</v>
      </c>
      <c r="T179" s="485">
        <f>D179*'4C2 Open-burning '!$C$9*'4C2 Open-burning '!$C$11*$C$5</f>
        <v>1.0334208955382946</v>
      </c>
      <c r="U179" s="485">
        <f>E179*'4C2 Open-burning '!$C$9*'4C2 Open-burning '!$C$11*$C$5</f>
        <v>0.28225861882595882</v>
      </c>
      <c r="V179" s="485">
        <f>F179*'4C2 Open-burning '!$C$9*'4C2 Open-burning '!$C$11*$C$5</f>
        <v>0</v>
      </c>
      <c r="W179" s="485">
        <f>G179*'4C2 Open-burning '!$C$9*'4C2 Open-burning '!$C$11*$C$5</f>
        <v>0</v>
      </c>
      <c r="X179" s="485">
        <f>H179*'4C2 Open-burning '!$C$9*'4C2 Open-burning '!$C$11*$C$5</f>
        <v>0</v>
      </c>
      <c r="Y179" s="485">
        <f>I179*'4C2 Open-burning '!$C$9*'4C2 Open-burning '!$C$11*$C$5</f>
        <v>1.1035342247263438</v>
      </c>
      <c r="Z179" s="486">
        <f t="shared" si="17"/>
        <v>3.4086964307102301</v>
      </c>
      <c r="AA179" s="1628">
        <f>C179*'4C2 Open-burning '!$C$10*'4C2 Open-burning '!$C$11*$C$5*C$15</f>
        <v>9.1336863841812218E-3</v>
      </c>
      <c r="AB179" s="487">
        <f>D179*'4C2 Open-burning '!$C$10*'4C2 Open-burning '!$C$11*$C$5*D$15</f>
        <v>9.5392698049688741E-3</v>
      </c>
      <c r="AC179" s="487">
        <f>E179*'4C2 Open-burning '!$C$10*'4C2 Open-burning '!$C$11*$C$5*E$15</f>
        <v>5.8622943910006838E-3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2.2919556975085603E-2</v>
      </c>
      <c r="AH179" s="488">
        <f t="shared" si="18"/>
        <v>4.7454807555236386E-2</v>
      </c>
      <c r="AI179" s="1386"/>
      <c r="AJ179" s="1386"/>
      <c r="AK179" s="1386"/>
      <c r="AL179" s="4"/>
      <c r="AM179" s="4"/>
    </row>
    <row r="180" spans="1:39">
      <c r="A180" s="959">
        <f>'Input data'!A141</f>
        <v>2041</v>
      </c>
      <c r="B180" s="560">
        <f>'Recycling - Case 3'!AP121</f>
        <v>4.4593956313696254E-2</v>
      </c>
      <c r="C180" s="527">
        <f>$B180*'Recycling - Case 3'!$AK121*'Recycling - Case 3'!BM121</f>
        <v>253.20804435794963</v>
      </c>
      <c r="D180" s="528">
        <f>$B180*'Recycling - Case 3'!$AK121*'Recycling - Case 3'!BN121</f>
        <v>264.45180514434043</v>
      </c>
      <c r="E180" s="528">
        <f>$B180*'Recycling - Case 3'!$AK121*'Recycling - Case 3'!BO121</f>
        <v>72.229816126557225</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282.39376523873244</v>
      </c>
      <c r="J180" s="744">
        <f t="shared" si="19"/>
        <v>872.28343086757968</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0.38156411586279626</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9.7290300000048084</v>
      </c>
      <c r="R180" s="1382">
        <f t="shared" si="16"/>
        <v>10.110594115867604</v>
      </c>
      <c r="S180" s="484">
        <f>C180*'4C2 Open-burning '!$C$9*'4C2 Open-burning '!$C$11*$C$5</f>
        <v>0.98751137299600344</v>
      </c>
      <c r="T180" s="485">
        <f>D180*'4C2 Open-burning '!$C$9*'4C2 Open-burning '!$C$11*$C$5</f>
        <v>1.0313620400629275</v>
      </c>
      <c r="U180" s="485">
        <f>E180*'4C2 Open-burning '!$C$9*'4C2 Open-burning '!$C$11*$C$5</f>
        <v>0.28169628289357318</v>
      </c>
      <c r="V180" s="485">
        <f>F180*'4C2 Open-burning '!$C$9*'4C2 Open-burning '!$C$11*$C$5</f>
        <v>0</v>
      </c>
      <c r="W180" s="485">
        <f>G180*'4C2 Open-burning '!$C$9*'4C2 Open-burning '!$C$11*$C$5</f>
        <v>0</v>
      </c>
      <c r="X180" s="485">
        <f>H180*'4C2 Open-burning '!$C$9*'4C2 Open-burning '!$C$11*$C$5</f>
        <v>0</v>
      </c>
      <c r="Y180" s="485">
        <f>I180*'4C2 Open-burning '!$C$9*'4C2 Open-burning '!$C$11*$C$5</f>
        <v>1.1013356844310564</v>
      </c>
      <c r="Z180" s="486">
        <f t="shared" si="17"/>
        <v>3.4019053803835608</v>
      </c>
      <c r="AA180" s="1628">
        <f>C180*'4C2 Open-burning '!$C$10*'4C2 Open-burning '!$C$11*$C$5*C$15</f>
        <v>9.1154895968861872E-3</v>
      </c>
      <c r="AB180" s="487">
        <f>D180*'4C2 Open-burning '!$C$10*'4C2 Open-burning '!$C$11*$C$5*D$15</f>
        <v>9.5202649851962549E-3</v>
      </c>
      <c r="AC180" s="487">
        <f>E180*'4C2 Open-burning '!$C$10*'4C2 Open-burning '!$C$11*$C$5*E$15</f>
        <v>5.8506151062511355E-3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2.2873894984337326E-2</v>
      </c>
      <c r="AH180" s="488">
        <f t="shared" si="18"/>
        <v>4.7360264672670904E-2</v>
      </c>
      <c r="AI180" s="1386"/>
      <c r="AJ180" s="1386"/>
      <c r="AK180" s="1386"/>
      <c r="AL180" s="4"/>
      <c r="AM180" s="4"/>
    </row>
    <row r="181" spans="1:39">
      <c r="A181" s="959">
        <f>'Input data'!A142</f>
        <v>2042</v>
      </c>
      <c r="B181" s="560">
        <f>'Recycling - Case 3'!AP122</f>
        <v>4.4368557891718778E-2</v>
      </c>
      <c r="C181" s="527">
        <f>$B181*'Recycling - Case 3'!$AK122*'Recycling - Case 3'!BM122</f>
        <v>252.70768958160568</v>
      </c>
      <c r="D181" s="528">
        <f>$B181*'Recycling - Case 3'!$AK122*'Recycling - Case 3'!BN122</f>
        <v>263.92923200037785</v>
      </c>
      <c r="E181" s="528">
        <f>$B181*'Recycling - Case 3'!$AK122*'Recycling - Case 3'!BO122</f>
        <v>72.087085536836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281.83573767051189</v>
      </c>
      <c r="J181" s="744">
        <f t="shared" si="19"/>
        <v>870.55974478933138</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0.3808101215403113</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9.7098048342244745</v>
      </c>
      <c r="R181" s="1382">
        <f t="shared" si="16"/>
        <v>10.090614955764785</v>
      </c>
      <c r="S181" s="484">
        <f>C181*'4C2 Open-burning '!$C$9*'4C2 Open-burning '!$C$11*$C$5</f>
        <v>0.98555998936826206</v>
      </c>
      <c r="T181" s="485">
        <f>D181*'4C2 Open-burning '!$C$9*'4C2 Open-burning '!$C$11*$C$5</f>
        <v>1.0293240048014736</v>
      </c>
      <c r="U181" s="485">
        <f>E181*'4C2 Open-burning '!$C$9*'4C2 Open-burning '!$C$11*$C$5</f>
        <v>0.2811396335936604</v>
      </c>
      <c r="V181" s="485">
        <f>F181*'4C2 Open-burning '!$C$9*'4C2 Open-burning '!$C$11*$C$5</f>
        <v>0</v>
      </c>
      <c r="W181" s="485">
        <f>G181*'4C2 Open-burning '!$C$9*'4C2 Open-burning '!$C$11*$C$5</f>
        <v>0</v>
      </c>
      <c r="X181" s="485">
        <f>H181*'4C2 Open-burning '!$C$9*'4C2 Open-burning '!$C$11*$C$5</f>
        <v>0</v>
      </c>
      <c r="Y181" s="485">
        <f>I181*'4C2 Open-burning '!$C$9*'4C2 Open-burning '!$C$11*$C$5</f>
        <v>1.0991593769149963</v>
      </c>
      <c r="Z181" s="486">
        <f t="shared" si="17"/>
        <v>3.3951830046783922</v>
      </c>
      <c r="AA181" s="1628">
        <f>C181*'4C2 Open-burning '!$C$10*'4C2 Open-burning '!$C$11*$C$5*C$15</f>
        <v>9.097476824937804E-3</v>
      </c>
      <c r="AB181" s="487">
        <f>D181*'4C2 Open-burning '!$C$10*'4C2 Open-burning '!$C$11*$C$5*D$15</f>
        <v>9.5014523520136028E-3</v>
      </c>
      <c r="AC181" s="487">
        <f>E181*'4C2 Open-burning '!$C$10*'4C2 Open-burning '!$C$11*$C$5*E$15</f>
        <v>5.8390539284837147E-3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2.2828694751311461E-2</v>
      </c>
      <c r="AH181" s="488">
        <f t="shared" si="18"/>
        <v>4.7266677856746583E-2</v>
      </c>
      <c r="AI181" s="1386"/>
      <c r="AJ181" s="1386"/>
      <c r="AK181" s="1386"/>
      <c r="AL181" s="4"/>
      <c r="AM181" s="4"/>
    </row>
    <row r="182" spans="1:39">
      <c r="A182" s="959">
        <f>'Input data'!A143</f>
        <v>2043</v>
      </c>
      <c r="B182" s="560">
        <f>'Recycling - Case 3'!AP123</f>
        <v>4.414452242519154E-2</v>
      </c>
      <c r="C182" s="527">
        <f>$B182*'Recycling - Case 3'!$AK123*'Recycling - Case 3'!BM123</f>
        <v>252.21237864369809</v>
      </c>
      <c r="D182" s="528">
        <f>$B182*'Recycling - Case 3'!$AK123*'Recycling - Case 3'!BN123</f>
        <v>263.41192666764431</v>
      </c>
      <c r="E182" s="528">
        <f>$B182*'Recycling - Case 3'!$AK123*'Recycling - Case 3'!BO123</f>
        <v>71.945793746279918</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281.28333531270243</v>
      </c>
      <c r="J182" s="744">
        <f t="shared" si="19"/>
        <v>868.85343437032475</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0.38006372787584813</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9.6907734681932229</v>
      </c>
      <c r="R182" s="1382">
        <f t="shared" si="16"/>
        <v>10.070837196069071</v>
      </c>
      <c r="S182" s="484">
        <f>C182*'4C2 Open-burning '!$C$9*'4C2 Open-burning '!$C$11*$C$5</f>
        <v>0.98362827671042241</v>
      </c>
      <c r="T182" s="485">
        <f>D182*'4C2 Open-burning '!$C$9*'4C2 Open-burning '!$C$11*$C$5</f>
        <v>1.0273065140038129</v>
      </c>
      <c r="U182" s="485">
        <f>E182*'4C2 Open-burning '!$C$9*'4C2 Open-burning '!$C$11*$C$5</f>
        <v>0.28058859561049165</v>
      </c>
      <c r="V182" s="485">
        <f>F182*'4C2 Open-burning '!$C$9*'4C2 Open-burning '!$C$11*$C$5</f>
        <v>0</v>
      </c>
      <c r="W182" s="485">
        <f>G182*'4C2 Open-burning '!$C$9*'4C2 Open-burning '!$C$11*$C$5</f>
        <v>0</v>
      </c>
      <c r="X182" s="485">
        <f>H182*'4C2 Open-burning '!$C$9*'4C2 Open-burning '!$C$11*$C$5</f>
        <v>0</v>
      </c>
      <c r="Y182" s="485">
        <f>I182*'4C2 Open-burning '!$C$9*'4C2 Open-burning '!$C$11*$C$5</f>
        <v>1.0970050077195395</v>
      </c>
      <c r="Z182" s="486">
        <f t="shared" si="17"/>
        <v>3.3885283940442661</v>
      </c>
      <c r="AA182" s="1628">
        <f>C182*'4C2 Open-burning '!$C$10*'4C2 Open-burning '!$C$11*$C$5*C$15</f>
        <v>9.0796456311731302E-3</v>
      </c>
      <c r="AB182" s="487">
        <f>D182*'4C2 Open-burning '!$C$10*'4C2 Open-burning '!$C$11*$C$5*D$15</f>
        <v>9.4828293600351943E-3</v>
      </c>
      <c r="AC182" s="487">
        <f>E182*'4C2 Open-burning '!$C$10*'4C2 Open-burning '!$C$11*$C$5*E$15</f>
        <v>5.8276092934486743E-3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2.2783950160328897E-2</v>
      </c>
      <c r="AH182" s="488">
        <f t="shared" si="18"/>
        <v>4.7174034444985899E-2</v>
      </c>
      <c r="AI182" s="1386"/>
      <c r="AJ182" s="1386"/>
      <c r="AK182" s="1386"/>
      <c r="AL182" s="4"/>
      <c r="AM182" s="4"/>
    </row>
    <row r="183" spans="1:39">
      <c r="A183" s="959">
        <f>'Input data'!A144</f>
        <v>2044</v>
      </c>
      <c r="B183" s="560">
        <f>'Recycling - Case 3'!AP124</f>
        <v>4.3921834607905885E-2</v>
      </c>
      <c r="C183" s="527">
        <f>$B183*'Recycling - Case 3'!$AK124*'Recycling - Case 3'!BM124</f>
        <v>251.72204501185507</v>
      </c>
      <c r="D183" s="528">
        <f>$B183*'Recycling - Case 3'!$AK124*'Recycling - Case 3'!BN124</f>
        <v>262.8998196593829</v>
      </c>
      <c r="E183" s="528">
        <f>$B183*'Recycling - Case 3'!$AK124*'Recycling - Case 3'!BO124</f>
        <v>71.805921775946217</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280.73648396415842</v>
      </c>
      <c r="J183" s="744">
        <f t="shared" si="19"/>
        <v>867.16427041134261</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0.3793248346104845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9.6719333455331853</v>
      </c>
      <c r="R183" s="1382">
        <f t="shared" si="16"/>
        <v>10.05125818014367</v>
      </c>
      <c r="S183" s="484">
        <f>C183*'4C2 Open-burning '!$C$9*'4C2 Open-burning '!$C$11*$C$5</f>
        <v>0.98171597554623469</v>
      </c>
      <c r="T183" s="485">
        <f>D183*'4C2 Open-burning '!$C$9*'4C2 Open-burning '!$C$11*$C$5</f>
        <v>1.0253092966715933</v>
      </c>
      <c r="U183" s="485">
        <f>E183*'4C2 Open-burning '!$C$9*'4C2 Open-burning '!$C$11*$C$5</f>
        <v>0.28004309492619023</v>
      </c>
      <c r="V183" s="485">
        <f>F183*'4C2 Open-burning '!$C$9*'4C2 Open-burning '!$C$11*$C$5</f>
        <v>0</v>
      </c>
      <c r="W183" s="485">
        <f>G183*'4C2 Open-burning '!$C$9*'4C2 Open-burning '!$C$11*$C$5</f>
        <v>0</v>
      </c>
      <c r="X183" s="485">
        <f>H183*'4C2 Open-burning '!$C$9*'4C2 Open-burning '!$C$11*$C$5</f>
        <v>0</v>
      </c>
      <c r="Y183" s="485">
        <f>I183*'4C2 Open-burning '!$C$9*'4C2 Open-burning '!$C$11*$C$5</f>
        <v>1.0948722874602177</v>
      </c>
      <c r="Z183" s="486">
        <f t="shared" si="17"/>
        <v>3.3819406546042359</v>
      </c>
      <c r="AA183" s="1628">
        <f>C183*'4C2 Open-burning '!$C$10*'4C2 Open-burning '!$C$11*$C$5*C$15</f>
        <v>9.061993620426782E-3</v>
      </c>
      <c r="AB183" s="487">
        <f>D183*'4C2 Open-burning '!$C$10*'4C2 Open-burning '!$C$11*$C$5*D$15</f>
        <v>9.4643935077377856E-3</v>
      </c>
      <c r="AC183" s="487">
        <f>E183*'4C2 Open-burning '!$C$10*'4C2 Open-burning '!$C$11*$C$5*E$15</f>
        <v>5.8162796638516435E-3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2.2739655201096831E-2</v>
      </c>
      <c r="AH183" s="488">
        <f t="shared" si="18"/>
        <v>4.7082321993113047E-2</v>
      </c>
      <c r="AI183" s="1386"/>
      <c r="AJ183" s="1386"/>
      <c r="AK183" s="1386"/>
      <c r="AL183" s="4"/>
      <c r="AM183" s="4"/>
    </row>
    <row r="184" spans="1:39">
      <c r="A184" s="959">
        <f>'Input data'!A145</f>
        <v>2045</v>
      </c>
      <c r="B184" s="560">
        <f>'Recycling - Case 3'!AP125</f>
        <v>4.3700479411766198E-2</v>
      </c>
      <c r="C184" s="527">
        <f>$B184*'Recycling - Case 3'!$AK125*'Recycling - Case 3'!BM125</f>
        <v>251.23662329524964</v>
      </c>
      <c r="D184" s="528">
        <f>$B184*'Recycling - Case 3'!$AK125*'Recycling - Case 3'!BN125</f>
        <v>262.39284268107218</v>
      </c>
      <c r="E184" s="528">
        <f>$B184*'Recycling - Case 3'!$AK125*'Recycling - Case 3'!BO125</f>
        <v>71.667450972527817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280.19511069685785</v>
      </c>
      <c r="J184" s="744">
        <f t="shared" si="19"/>
        <v>865.49202764570759</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0.37859334320551435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9.6532819537281451</v>
      </c>
      <c r="R184" s="1382">
        <f t="shared" si="16"/>
        <v>10.031875296933659</v>
      </c>
      <c r="S184" s="484">
        <f>C184*'4C2 Open-burning '!$C$9*'4C2 Open-burning '!$C$11*$C$5</f>
        <v>0.97982283085147348</v>
      </c>
      <c r="T184" s="485">
        <f>D184*'4C2 Open-burning '!$C$9*'4C2 Open-burning '!$C$11*$C$5</f>
        <v>1.0233320864561815</v>
      </c>
      <c r="U184" s="485">
        <f>E184*'4C2 Open-burning '!$C$9*'4C2 Open-burning '!$C$11*$C$5</f>
        <v>0.27950305879285847</v>
      </c>
      <c r="V184" s="485">
        <f>F184*'4C2 Open-burning '!$C$9*'4C2 Open-burning '!$C$11*$C$5</f>
        <v>0</v>
      </c>
      <c r="W184" s="485">
        <f>G184*'4C2 Open-burning '!$C$9*'4C2 Open-burning '!$C$11*$C$5</f>
        <v>0</v>
      </c>
      <c r="X184" s="485">
        <f>H184*'4C2 Open-burning '!$C$9*'4C2 Open-burning '!$C$11*$C$5</f>
        <v>0</v>
      </c>
      <c r="Y184" s="485">
        <f>I184*'4C2 Open-burning '!$C$9*'4C2 Open-burning '!$C$11*$C$5</f>
        <v>1.0927609317177456</v>
      </c>
      <c r="Z184" s="486">
        <f t="shared" si="17"/>
        <v>3.3754189078182595</v>
      </c>
      <c r="AA184" s="1628">
        <f>C184*'4C2 Open-burning '!$C$10*'4C2 Open-burning '!$C$11*$C$5*C$15</f>
        <v>9.044518438628987E-3</v>
      </c>
      <c r="AB184" s="487">
        <f>D184*'4C2 Open-burning '!$C$10*'4C2 Open-burning '!$C$11*$C$5*D$15</f>
        <v>9.4461423365185971E-3</v>
      </c>
      <c r="AC184" s="487">
        <f>E184*'4C2 Open-burning '!$C$10*'4C2 Open-burning '!$C$11*$C$5*E$15</f>
        <v>5.8050635287747523E-3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2.2695803966445483E-2</v>
      </c>
      <c r="AH184" s="488">
        <f t="shared" si="18"/>
        <v>4.6991528270367816E-2</v>
      </c>
      <c r="AI184" s="1386"/>
      <c r="AJ184" s="1386"/>
      <c r="AK184" s="1386"/>
      <c r="AL184" s="4"/>
      <c r="AM184" s="4"/>
    </row>
    <row r="185" spans="1:39">
      <c r="A185" s="959">
        <f>'Input data'!A146</f>
        <v>2046</v>
      </c>
      <c r="B185" s="560">
        <f>'Recycling - Case 3'!AP126</f>
        <v>4.3519432813026476E-2</v>
      </c>
      <c r="C185" s="527">
        <f>$B185*'Recycling - Case 3'!$AK126*'Recycling - Case 3'!BM126</f>
        <v>250.84106476572731</v>
      </c>
      <c r="D185" s="528">
        <f>$B185*'Recycling - Case 3'!$AK126*'Recycling - Case 3'!BN126</f>
        <v>261.97971928510077</v>
      </c>
      <c r="E185" s="528">
        <f>$B185*'Recycling - Case 3'!$AK126*'Recycling - Case 3'!BO126</f>
        <v>71.554614431622738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279.75395858888533</v>
      </c>
      <c r="J185" s="744">
        <f t="shared" si="19"/>
        <v>864.12935707133613</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0.37799726838106751</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9.638083381304277</v>
      </c>
      <c r="R185" s="1382">
        <f t="shared" si="16"/>
        <v>10.016080649685344</v>
      </c>
      <c r="S185" s="484">
        <f>C185*'4C2 Open-burning '!$C$9*'4C2 Open-burning '!$C$11*$C$5</f>
        <v>0.97828015258633649</v>
      </c>
      <c r="T185" s="485">
        <f>D185*'4C2 Open-burning '!$C$9*'4C2 Open-burning '!$C$11*$C$5</f>
        <v>1.021720905211893</v>
      </c>
      <c r="U185" s="485">
        <f>E185*'4C2 Open-burning '!$C$9*'4C2 Open-burning '!$C$11*$C$5</f>
        <v>0.2790629962833287</v>
      </c>
      <c r="V185" s="485">
        <f>F185*'4C2 Open-burning '!$C$9*'4C2 Open-burning '!$C$11*$C$5</f>
        <v>0</v>
      </c>
      <c r="W185" s="485">
        <f>G185*'4C2 Open-burning '!$C$9*'4C2 Open-burning '!$C$11*$C$5</f>
        <v>0</v>
      </c>
      <c r="X185" s="485">
        <f>H185*'4C2 Open-burning '!$C$9*'4C2 Open-burning '!$C$11*$C$5</f>
        <v>0</v>
      </c>
      <c r="Y185" s="485">
        <f>I185*'4C2 Open-burning '!$C$9*'4C2 Open-burning '!$C$11*$C$5</f>
        <v>1.0910404384966528</v>
      </c>
      <c r="Z185" s="486">
        <f t="shared" si="17"/>
        <v>3.3701044925782111</v>
      </c>
      <c r="AA185" s="1628">
        <f>C185*'4C2 Open-burning '!$C$10*'4C2 Open-burning '!$C$11*$C$5*C$15</f>
        <v>9.0302783315661835E-3</v>
      </c>
      <c r="AB185" s="487">
        <f>D185*'4C2 Open-burning '!$C$10*'4C2 Open-burning '!$C$11*$C$5*D$15</f>
        <v>9.4312698942636275E-3</v>
      </c>
      <c r="AC185" s="487">
        <f>E185*'4C2 Open-burning '!$C$10*'4C2 Open-burning '!$C$11*$C$5*E$15</f>
        <v>5.7959237689614411E-3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2.2660070645699713E-2</v>
      </c>
      <c r="AH185" s="488">
        <f t="shared" si="18"/>
        <v>4.6917542640490965E-2</v>
      </c>
      <c r="AI185" s="1386"/>
      <c r="AJ185" s="1386"/>
      <c r="AK185" s="1386"/>
      <c r="AL185" s="4"/>
      <c r="AM185" s="4"/>
    </row>
    <row r="186" spans="1:39">
      <c r="A186" s="959">
        <f>'Input data'!A147</f>
        <v>2047</v>
      </c>
      <c r="B186" s="560">
        <f>'Recycling - Case 3'!AP127</f>
        <v>4.3339269389548955E-2</v>
      </c>
      <c r="C186" s="527">
        <f>$B186*'Recycling - Case 3'!$AK127*'Recycling - Case 3'!BM127</f>
        <v>250.44874940831926</v>
      </c>
      <c r="D186" s="528">
        <f>$B186*'Recycling - Case 3'!$AK127*'Recycling - Case 3'!BN127</f>
        <v>261.56998307503892</v>
      </c>
      <c r="E186" s="528">
        <f>$B186*'Recycling - Case 3'!$AK127*'Recycling - Case 3'!BO127</f>
        <v>71.442703034016631</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279.31642347336265</v>
      </c>
      <c r="J186" s="744">
        <f t="shared" si="19"/>
        <v>862.77785899073751</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0.3774060807556176</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9.623009421504289</v>
      </c>
      <c r="R186" s="1382">
        <f t="shared" si="16"/>
        <v>10.000415502259907</v>
      </c>
      <c r="S186" s="484">
        <f>C186*'4C2 Open-burning '!$C$9*'4C2 Open-burning '!$C$11*$C$5</f>
        <v>0.9767501226924451</v>
      </c>
      <c r="T186" s="485">
        <f>D186*'4C2 Open-burning '!$C$9*'4C2 Open-burning '!$C$11*$C$5</f>
        <v>1.0201229339926516</v>
      </c>
      <c r="U186" s="485">
        <f>E186*'4C2 Open-burning '!$C$9*'4C2 Open-burning '!$C$11*$C$5</f>
        <v>0.27862654183266483</v>
      </c>
      <c r="V186" s="485">
        <f>F186*'4C2 Open-burning '!$C$9*'4C2 Open-burning '!$C$11*$C$5</f>
        <v>0</v>
      </c>
      <c r="W186" s="485">
        <f>G186*'4C2 Open-burning '!$C$9*'4C2 Open-burning '!$C$11*$C$5</f>
        <v>0</v>
      </c>
      <c r="X186" s="485">
        <f>H186*'4C2 Open-burning '!$C$9*'4C2 Open-burning '!$C$11*$C$5</f>
        <v>0</v>
      </c>
      <c r="Y186" s="485">
        <f>I186*'4C2 Open-burning '!$C$9*'4C2 Open-burning '!$C$11*$C$5</f>
        <v>1.0893340515461141</v>
      </c>
      <c r="Z186" s="486">
        <f t="shared" si="17"/>
        <v>3.3648336500638756</v>
      </c>
      <c r="AA186" s="1628">
        <f>C186*'4C2 Open-burning '!$C$10*'4C2 Open-burning '!$C$11*$C$5*C$15</f>
        <v>9.0161549786994932E-3</v>
      </c>
      <c r="AB186" s="487">
        <f>D186*'4C2 Open-burning '!$C$10*'4C2 Open-burning '!$C$11*$C$5*D$15</f>
        <v>9.4165193907014E-3</v>
      </c>
      <c r="AC186" s="487">
        <f>E186*'4C2 Open-burning '!$C$10*'4C2 Open-burning '!$C$11*$C$5*E$15</f>
        <v>5.7868589457553471E-3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2.2624630301342374E-2</v>
      </c>
      <c r="AH186" s="488">
        <f t="shared" si="18"/>
        <v>4.6844163616498617E-2</v>
      </c>
      <c r="AI186" s="1386"/>
      <c r="AJ186" s="1386"/>
      <c r="AK186" s="1386"/>
      <c r="AL186" s="4"/>
      <c r="AM186" s="4"/>
    </row>
    <row r="187" spans="1:39">
      <c r="A187" s="959">
        <f>'Input data'!A148</f>
        <v>2048</v>
      </c>
      <c r="B187" s="560">
        <f>'Recycling - Case 3'!AP128</f>
        <v>4.3159981189882027E-2</v>
      </c>
      <c r="C187" s="527">
        <f>$B187*'Recycling - Case 3'!$AK128*'Recycling - Case 3'!BM128</f>
        <v>250.05964252346925</v>
      </c>
      <c r="D187" s="528">
        <f>$B187*'Recycling - Case 3'!$AK128*'Recycling - Case 3'!BN128</f>
        <v>261.16359781048857</v>
      </c>
      <c r="E187" s="528">
        <f>$B187*'Recycling - Case 3'!$AK128*'Recycling - Case 3'!BO128</f>
        <v>71.331706881356638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278.88246665113081</v>
      </c>
      <c r="J187" s="744">
        <f t="shared" si="19"/>
        <v>861.43741386644535</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0.3768197280397298</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9.6080587410647578</v>
      </c>
      <c r="R187" s="1382">
        <f t="shared" si="16"/>
        <v>9.984878469104487</v>
      </c>
      <c r="S187" s="484">
        <f>C187*'4C2 Open-burning '!$C$9*'4C2 Open-burning '!$C$11*$C$5</f>
        <v>0.97523260584153004</v>
      </c>
      <c r="T187" s="485">
        <f>D187*'4C2 Open-burning '!$C$9*'4C2 Open-burning '!$C$11*$C$5</f>
        <v>1.0185380314609054</v>
      </c>
      <c r="U187" s="485">
        <f>E187*'4C2 Open-burning '!$C$9*'4C2 Open-burning '!$C$11*$C$5</f>
        <v>0.27819365683729086</v>
      </c>
      <c r="V187" s="485">
        <f>F187*'4C2 Open-burning '!$C$9*'4C2 Open-burning '!$C$11*$C$5</f>
        <v>0</v>
      </c>
      <c r="W187" s="485">
        <f>G187*'4C2 Open-burning '!$C$9*'4C2 Open-burning '!$C$11*$C$5</f>
        <v>0</v>
      </c>
      <c r="X187" s="485">
        <f>H187*'4C2 Open-burning '!$C$9*'4C2 Open-burning '!$C$11*$C$5</f>
        <v>0</v>
      </c>
      <c r="Y187" s="485">
        <f>I187*'4C2 Open-burning '!$C$9*'4C2 Open-burning '!$C$11*$C$5</f>
        <v>1.0876416199394101</v>
      </c>
      <c r="Z187" s="486">
        <f t="shared" si="17"/>
        <v>3.3596059140791361</v>
      </c>
      <c r="AA187" s="1628">
        <f>C187*'4C2 Open-burning '!$C$10*'4C2 Open-burning '!$C$11*$C$5*C$15</f>
        <v>9.0021471308448908E-3</v>
      </c>
      <c r="AB187" s="487">
        <f>D187*'4C2 Open-burning '!$C$10*'4C2 Open-burning '!$C$11*$C$5*D$15</f>
        <v>9.401889521177589E-3</v>
      </c>
      <c r="AC187" s="487">
        <f>E187*'4C2 Open-burning '!$C$10*'4C2 Open-burning '!$C$11*$C$5*E$15</f>
        <v>5.7778682573898874E-3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2.2589479798741593E-2</v>
      </c>
      <c r="AH187" s="488">
        <f t="shared" si="18"/>
        <v>4.6771384708153965E-2</v>
      </c>
      <c r="AI187" s="1386"/>
      <c r="AJ187" s="1386"/>
      <c r="AK187" s="1386"/>
      <c r="AL187" s="4"/>
      <c r="AM187" s="4"/>
    </row>
    <row r="188" spans="1:39">
      <c r="A188" s="959">
        <f>'Input data'!A149</f>
        <v>2049</v>
      </c>
      <c r="B188" s="560">
        <f>'Recycling - Case 3'!AP129</f>
        <v>4.2981560380265717E-2</v>
      </c>
      <c r="C188" s="527">
        <f>$B188*'Recycling - Case 3'!$AK129*'Recycling - Case 3'!BM129</f>
        <v>249.6737098943648</v>
      </c>
      <c r="D188" s="528">
        <f>$B188*'Recycling - Case 3'!$AK129*'Recycling - Case 3'!BN129</f>
        <v>260.76052775523203</v>
      </c>
      <c r="E188" s="528">
        <f>$B188*'Recycling - Case 3'!$AK129*'Recycling - Case 3'!BO129</f>
        <v>71.221616212996807</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278.45204996141769</v>
      </c>
      <c r="J188" s="744">
        <f t="shared" si="19"/>
        <v>860.10790382401137</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0.37623815867142546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9.5932300252707616</v>
      </c>
      <c r="R188" s="1382">
        <f t="shared" si="16"/>
        <v>9.9694681839421868</v>
      </c>
      <c r="S188" s="484">
        <f>C188*'4C2 Open-burning '!$C$9*'4C2 Open-burning '!$C$11*$C$5</f>
        <v>0.97372746858802262</v>
      </c>
      <c r="T188" s="485">
        <f>D188*'4C2 Open-burning '!$C$9*'4C2 Open-burning '!$C$11*$C$5</f>
        <v>1.0169660582454048</v>
      </c>
      <c r="U188" s="485">
        <f>E188*'4C2 Open-burning '!$C$9*'4C2 Open-burning '!$C$11*$C$5</f>
        <v>0.27776430323068751</v>
      </c>
      <c r="V188" s="485">
        <f>F188*'4C2 Open-burning '!$C$9*'4C2 Open-burning '!$C$11*$C$5</f>
        <v>0</v>
      </c>
      <c r="W188" s="485">
        <f>G188*'4C2 Open-burning '!$C$9*'4C2 Open-burning '!$C$11*$C$5</f>
        <v>0</v>
      </c>
      <c r="X188" s="485">
        <f>H188*'4C2 Open-burning '!$C$9*'4C2 Open-burning '!$C$11*$C$5</f>
        <v>0</v>
      </c>
      <c r="Y188" s="485">
        <f>I188*'4C2 Open-burning '!$C$9*'4C2 Open-burning '!$C$11*$C$5</f>
        <v>1.0859629948495289</v>
      </c>
      <c r="Z188" s="486">
        <f t="shared" si="17"/>
        <v>3.3544208249136438</v>
      </c>
      <c r="AA188" s="1628">
        <f>C188*'4C2 Open-burning '!$C$10*'4C2 Open-burning '!$C$11*$C$5*C$15</f>
        <v>8.9882535561971334E-3</v>
      </c>
      <c r="AB188" s="487">
        <f>D188*'4C2 Open-burning '!$C$10*'4C2 Open-burning '!$C$11*$C$5*D$15</f>
        <v>9.3873789991883536E-3</v>
      </c>
      <c r="AC188" s="487">
        <f>E188*'4C2 Open-burning '!$C$10*'4C2 Open-burning '!$C$11*$C$5*E$15</f>
        <v>5.7689509132527409E-3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2.2554616046874833E-2</v>
      </c>
      <c r="AH188" s="488">
        <f t="shared" si="18"/>
        <v>4.669919951551306E-2</v>
      </c>
      <c r="AI188" s="1386"/>
      <c r="AJ188" s="1386"/>
      <c r="AK188" s="1386"/>
      <c r="AL188" s="4"/>
      <c r="AM188" s="4"/>
    </row>
    <row r="189" spans="1:39" ht="15.75" thickBot="1">
      <c r="A189" s="960">
        <f>'Input data'!A150</f>
        <v>2050</v>
      </c>
      <c r="B189" s="797">
        <f>'Recycling - Case 3'!AP130</f>
        <v>4.2803999242601289E-2</v>
      </c>
      <c r="C189" s="670">
        <f>$B189*'Recycling - Case 3'!$AK130*'Recycling - Case 3'!BM130</f>
        <v>249.29091777856027</v>
      </c>
      <c r="D189" s="667">
        <f>$B189*'Recycling - Case 3'!$AK130*'Recycling - Case 3'!BN130</f>
        <v>260.36073766848256</v>
      </c>
      <c r="E189" s="667">
        <f>$B189*'Recycling - Case 3'!$AK130*'Recycling - Case 3'!BO130</f>
        <v>71.112421403608479</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278.0251357724951</v>
      </c>
      <c r="J189" s="936">
        <f t="shared" si="19"/>
        <v>858.78921262314634</v>
      </c>
      <c r="K189" s="1383">
        <f>'4C2 Open-burning '!C$14*'4C2 Open-burning '!$C$5*'4C2 Open-burning '!$C$6*'4C2 Open-burning '!$C$7*C189</f>
        <v>0</v>
      </c>
      <c r="L189" s="1383">
        <f>'4C2 Open-burning '!D$14*'4C2 Open-burning '!$C$5*'4C2 Open-burning '!$C$6*'4C2 Open-burning '!$C$7*D189</f>
        <v>0</v>
      </c>
      <c r="M189" s="1383">
        <f>'4C2 Open-burning '!E$14*'4C2 Open-burning '!$C$5*'4C2 Open-burning '!$C$6*'4C2 Open-burning '!$C$7*E189</f>
        <v>0.37566132180355827</v>
      </c>
      <c r="N189" s="1383">
        <f>'4C2 Open-burning '!F$14*'4C2 Open-burning '!$C$5*'4C2 Open-burning '!$C$6*'4C2 Open-burning '!$C$7*F189</f>
        <v>0</v>
      </c>
      <c r="O189" s="1383">
        <f>'4C2 Open-burning '!G$14*'4C2 Open-burning '!$C$5*'4C2 Open-burning '!$C$6*'4C2 Open-burning '!$C$7*G189</f>
        <v>0</v>
      </c>
      <c r="P189" s="1383">
        <f>'4C2 Open-burning '!H$14*'4C2 Open-burning '!$C$5*'4C2 Open-burning '!$C$6*'4C2 Open-burning '!$C$7*H189</f>
        <v>0</v>
      </c>
      <c r="Q189" s="1383">
        <f>'4C2 Open-burning '!I$14*'4C2 Open-burning '!$C$5*'4C2 Open-burning '!$C$6*'4C2 Open-burning '!$C$7*I189</f>
        <v>9.5785219776340007</v>
      </c>
      <c r="R189" s="1384">
        <f t="shared" si="16"/>
        <v>9.9541832994375596</v>
      </c>
      <c r="S189" s="490">
        <f>C189*'4C2 Open-burning '!$C$9*'4C2 Open-burning '!$C$11*$C$5</f>
        <v>0.97223457933638491</v>
      </c>
      <c r="T189" s="491">
        <f>D189*'4C2 Open-burning '!$C$9*'4C2 Open-burning '!$C$11*$C$5</f>
        <v>1.0154068769070819</v>
      </c>
      <c r="U189" s="491">
        <f>E189*'4C2 Open-burning '!$C$9*'4C2 Open-burning '!$C$11*$C$5</f>
        <v>0.27733844347407305</v>
      </c>
      <c r="V189" s="491">
        <f>F189*'4C2 Open-burning '!$C$9*'4C2 Open-burning '!$C$11*$C$5</f>
        <v>0</v>
      </c>
      <c r="W189" s="491">
        <f>G189*'4C2 Open-burning '!$C$9*'4C2 Open-burning '!$C$11*$C$5</f>
        <v>0</v>
      </c>
      <c r="X189" s="491">
        <f>H189*'4C2 Open-burning '!$C$9*'4C2 Open-burning '!$C$11*$C$5</f>
        <v>0</v>
      </c>
      <c r="Y189" s="491">
        <f>I189*'4C2 Open-burning '!$C$9*'4C2 Open-burning '!$C$11*$C$5</f>
        <v>1.0842980295127309</v>
      </c>
      <c r="Z189" s="492">
        <f t="shared" si="17"/>
        <v>3.3492779292302708</v>
      </c>
      <c r="AA189" s="1629">
        <f>C189*'4C2 Open-burning '!$C$10*'4C2 Open-burning '!$C$11*$C$5*C$15</f>
        <v>8.9744730400281702E-3</v>
      </c>
      <c r="AB189" s="1630">
        <f>D189*'4C2 Open-burning '!$C$10*'4C2 Open-burning '!$C$11*$C$5*D$15</f>
        <v>9.3729865560653724E-3</v>
      </c>
      <c r="AC189" s="1630">
        <f>E189*'4C2 Open-burning '!$C$10*'4C2 Open-burning '!$C$11*$C$5*E$15</f>
        <v>5.7601061336922865E-3</v>
      </c>
      <c r="AD189" s="1630">
        <f>F189*'4C2 Open-burning '!$C$10*'4C2 Open-burning '!$C$11*$C$5*F$15</f>
        <v>0</v>
      </c>
      <c r="AE189" s="1630">
        <f>G189*'4C2 Open-burning '!$C$10*'4C2 Open-burning '!$C$11*$C$5*G$15</f>
        <v>0</v>
      </c>
      <c r="AF189" s="1630">
        <f>H189*'4C2 Open-burning '!$C$10*'4C2 Open-burning '!$C$11*$C$5*H$15</f>
        <v>0</v>
      </c>
      <c r="AG189" s="1630">
        <f>I189*'4C2 Open-burning '!$C$10*'4C2 Open-burning '!$C$11*$C$5*I$15</f>
        <v>2.2520035997572106E-2</v>
      </c>
      <c r="AH189" s="493">
        <f t="shared" si="18"/>
        <v>4.6627601727357935E-2</v>
      </c>
      <c r="AI189" s="1386"/>
      <c r="AJ189" s="1386"/>
      <c r="AK189" s="1386"/>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6"/>
      <c r="AJ190" s="1388"/>
      <c r="AK190" s="1386"/>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6"/>
      <c r="AJ191" s="1388"/>
      <c r="AK191" s="1386"/>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6"/>
      <c r="AJ192" s="1388"/>
      <c r="AK192" s="1386"/>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6"/>
      <c r="AJ193" s="1388"/>
      <c r="AK193" s="1386"/>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6"/>
      <c r="AJ194" s="1388"/>
      <c r="AK194" s="1386"/>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6"/>
      <c r="AJ195" s="1388"/>
      <c r="AK195" s="1386"/>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6"/>
      <c r="AJ196" s="1388"/>
      <c r="AK196" s="1386"/>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6"/>
      <c r="AJ197" s="1388"/>
      <c r="AK197" s="1386"/>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6"/>
      <c r="AJ198" s="1388"/>
      <c r="AK198" s="1386"/>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6"/>
      <c r="AJ199" s="1388"/>
      <c r="AK199" s="1386"/>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6"/>
      <c r="AJ200" s="1388"/>
      <c r="AK200" s="1386"/>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6"/>
      <c r="AJ201" s="1388"/>
      <c r="AK201" s="1386"/>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6"/>
      <c r="AJ202" s="1388"/>
      <c r="AK202" s="1386"/>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6"/>
      <c r="AJ203" s="1388"/>
      <c r="AK203" s="1386"/>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88"/>
      <c r="AJ204" s="1388"/>
      <c r="AK204" s="1388"/>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88"/>
      <c r="AJ205" s="1388"/>
      <c r="AK205" s="1388"/>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799" t="s">
        <v>217</v>
      </c>
      <c r="B55" s="546" t="s">
        <v>218</v>
      </c>
      <c r="C55" s="547" t="s">
        <v>501</v>
      </c>
      <c r="D55" s="548" t="s">
        <v>504</v>
      </c>
      <c r="E55" s="549" t="s">
        <v>296</v>
      </c>
      <c r="F55" s="550" t="s">
        <v>309</v>
      </c>
      <c r="G55" s="551" t="s">
        <v>310</v>
      </c>
      <c r="H55" s="1834" t="s">
        <v>6</v>
      </c>
      <c r="I55" s="1897"/>
      <c r="J55" s="1897"/>
      <c r="K55" s="1897"/>
      <c r="L55" s="1897"/>
      <c r="M55" s="1835"/>
      <c r="N55" s="1834" t="s">
        <v>298</v>
      </c>
      <c r="O55" s="1897"/>
      <c r="P55" s="1897"/>
      <c r="Q55" s="1897"/>
      <c r="R55" s="1897"/>
      <c r="S55" s="1835"/>
      <c r="T55" s="1834" t="s">
        <v>299</v>
      </c>
      <c r="U55" s="1897"/>
      <c r="V55" s="1897"/>
      <c r="W55" s="1897"/>
      <c r="X55" s="1897"/>
      <c r="Y55" s="1835"/>
      <c r="Z55" s="2006" t="s">
        <v>308</v>
      </c>
      <c r="AA55" s="1872"/>
      <c r="AB55" s="1872"/>
      <c r="AC55" s="1872"/>
      <c r="AD55" s="1872"/>
      <c r="AE55" s="1872"/>
      <c r="AF55" s="1873"/>
      <c r="AG55" s="2006" t="s">
        <v>307</v>
      </c>
      <c r="AH55" s="1872"/>
      <c r="AI55" s="1872"/>
      <c r="AJ55" s="1872"/>
      <c r="AK55" s="1872"/>
      <c r="AL55" s="1872"/>
      <c r="AM55" s="1873"/>
      <c r="AN55" s="2006" t="s">
        <v>306</v>
      </c>
      <c r="AO55" s="1872"/>
      <c r="AP55" s="1872"/>
      <c r="AQ55" s="1872"/>
      <c r="AR55" s="1872"/>
      <c r="AS55" s="1872"/>
      <c r="AT55" s="1873"/>
      <c r="AU55" s="250" t="s">
        <v>311</v>
      </c>
      <c r="AV55" s="245" t="s">
        <v>305</v>
      </c>
      <c r="AW55" s="247" t="s">
        <v>313</v>
      </c>
    </row>
    <row r="56" spans="1:49" ht="60.75" thickBot="1">
      <c r="A56" s="1800"/>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17">
        <f>'Recycling - Case 1'!E101</f>
        <v>0.74936969696969691</v>
      </c>
      <c r="D129" s="525">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17">
        <f>'Recycling - Case 1'!E102</f>
        <v>0.75801212121212114</v>
      </c>
      <c r="D130" s="525">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17">
        <f>'Recycling - Case 1'!E103</f>
        <v>0.76665454545454537</v>
      </c>
      <c r="D131" s="525">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17">
        <f>'Recycling - Case 1'!E104</f>
        <v>0.7752969696969696</v>
      </c>
      <c r="D132" s="525">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17">
        <f>'Recycling - Case 1'!E105</f>
        <v>0.78393939393939382</v>
      </c>
      <c r="D133" s="525">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17">
        <f>'Recycling - Case 1'!E106</f>
        <v>0.79258181818181805</v>
      </c>
      <c r="D134" s="525">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17">
        <f>'Recycling - Case 1'!E107</f>
        <v>0.80122424242424228</v>
      </c>
      <c r="D135" s="525">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17">
        <f>'Recycling - Case 1'!E108</f>
        <v>0.80986666666666651</v>
      </c>
      <c r="D136" s="525">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17">
        <f>'Recycling - Case 1'!E109</f>
        <v>0.81850909090909074</v>
      </c>
      <c r="D137" s="525">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17">
        <f>'Recycling - Case 1'!E110</f>
        <v>0.82715151515151497</v>
      </c>
      <c r="D138" s="525">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17">
        <f>'Recycling - Case 1'!E111</f>
        <v>0.8357939393939392</v>
      </c>
      <c r="D139" s="525">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17">
        <f>'Recycling - Case 1'!E112</f>
        <v>0.84443636363636343</v>
      </c>
      <c r="D140" s="525">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17">
        <f>'Recycling - Case 1'!E113</f>
        <v>0.85307878787878766</v>
      </c>
      <c r="D141" s="525">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17">
        <f>'Recycling - Case 1'!E114</f>
        <v>0.86172121212121189</v>
      </c>
      <c r="D142" s="525">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17">
        <f>'Recycling - Case 1'!E115</f>
        <v>0.87036363636363612</v>
      </c>
      <c r="D143" s="525">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17">
        <f>'Recycling - Case 1'!E116</f>
        <v>0.87900606060606035</v>
      </c>
      <c r="D144" s="525">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17">
        <f>'Recycling - Case 1'!E117</f>
        <v>0.88764848484848458</v>
      </c>
      <c r="D145" s="525">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17">
        <f>'Recycling - Case 1'!E118</f>
        <v>0.89629090909090881</v>
      </c>
      <c r="D146" s="525">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17">
        <f>'Recycling - Case 1'!E119</f>
        <v>0.90493333333333303</v>
      </c>
      <c r="D147" s="525">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17">
        <f>'Recycling - Case 1'!E120</f>
        <v>0.91357575757575726</v>
      </c>
      <c r="D148" s="525">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17">
        <f>'Recycling - Case 1'!E121</f>
        <v>0.92221818181818149</v>
      </c>
      <c r="D149" s="525">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17">
        <f>'Recycling - Case 1'!E122</f>
        <v>0.93086060606060572</v>
      </c>
      <c r="D150" s="525">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17">
        <f>'Recycling - Case 1'!E123</f>
        <v>0.93950303030302995</v>
      </c>
      <c r="D151" s="525">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17">
        <f>'Recycling - Case 1'!E124</f>
        <v>0.94814545454545418</v>
      </c>
      <c r="D152" s="525">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17">
        <f>'Recycling - Case 1'!E125</f>
        <v>0.95678787878787841</v>
      </c>
      <c r="D153" s="525">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17">
        <f>'Recycling - Case 1'!E126</f>
        <v>0.96543030303030264</v>
      </c>
      <c r="D154" s="525">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17">
        <f>'Recycling - Case 1'!E127</f>
        <v>0.97407272727272687</v>
      </c>
      <c r="D155" s="525">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17">
        <f>'Recycling - Case 1'!E128</f>
        <v>0.9827151515151511</v>
      </c>
      <c r="D156" s="525">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17">
        <f>'Recycling - Case 1'!E129</f>
        <v>0.99135757575757533</v>
      </c>
      <c r="D157" s="525">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651">
        <f>'Recycling - Case 1'!E130</f>
        <v>1</v>
      </c>
      <c r="D158" s="652">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4">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4">
        <f t="shared" ref="AT160:AT192" si="153">SUM(AN160:AS160)</f>
        <v>101794231.28593577</v>
      </c>
      <c r="AU160" s="1435">
        <v>0</v>
      </c>
      <c r="AV160" s="1436">
        <f>(AF160+AM160+AT160)/10^6-AU160</f>
        <v>137.16052165703309</v>
      </c>
      <c r="AW160" s="1437">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17">
        <f>'Recycling - Case 2'!E101</f>
        <v>0.80255384615384628</v>
      </c>
      <c r="D163" s="525">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971">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17">
        <f>'Recycling - Case 2'!E102</f>
        <v>0.82449230769230786</v>
      </c>
      <c r="D164" s="525">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971">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17">
        <f>'Recycling - Case 2'!E103</f>
        <v>0.84643076923076943</v>
      </c>
      <c r="D165" s="525">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971">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17">
        <f>'Recycling - Case 2'!E104</f>
        <v>0.868369230769231</v>
      </c>
      <c r="D166" s="525">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971">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17">
        <f>'Recycling - Case 2'!E105</f>
        <v>0.89030769230769258</v>
      </c>
      <c r="D167" s="525">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971">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17">
        <f>'Recycling - Case 2'!E106</f>
        <v>0.91224615384615415</v>
      </c>
      <c r="D168" s="525">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971">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17">
        <f>'Recycling - Case 2'!E107</f>
        <v>0.93418461538461572</v>
      </c>
      <c r="D169" s="525">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971">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17">
        <f>'Recycling - Case 2'!E108</f>
        <v>0.9561230769230773</v>
      </c>
      <c r="D170" s="525">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971">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17">
        <f>'Recycling - Case 2'!E109</f>
        <v>0.97806153846153887</v>
      </c>
      <c r="D171" s="525">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971">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17">
        <f>'Recycling - Case 2'!E110</f>
        <v>1</v>
      </c>
      <c r="D172" s="525">
        <f>'Recycling - Case 2'!F110</f>
        <v>0.36725000000000002</v>
      </c>
      <c r="E172" s="766">
        <f t="shared" si="155"/>
        <v>1026574387.2561252</v>
      </c>
      <c r="F172" s="526">
        <v>0</v>
      </c>
      <c r="G172" s="663">
        <f t="shared" si="132"/>
        <v>1026574387.2561252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23097923.713262819</v>
      </c>
      <c r="AA172" s="526">
        <f t="shared" si="134"/>
        <v>0</v>
      </c>
      <c r="AB172" s="526">
        <f t="shared" si="135"/>
        <v>23097923.713262819</v>
      </c>
      <c r="AC172" s="526">
        <f t="shared" si="136"/>
        <v>12934837.279427182</v>
      </c>
      <c r="AD172" s="526">
        <f t="shared" si="137"/>
        <v>1847833.8970610255</v>
      </c>
      <c r="AE172" s="526">
        <f t="shared" si="138"/>
        <v>0</v>
      </c>
      <c r="AF172" s="981">
        <f t="shared" si="139"/>
        <v>60978518.603013851</v>
      </c>
      <c r="AG172" s="766">
        <f t="shared" si="140"/>
        <v>0</v>
      </c>
      <c r="AH172" s="526">
        <f t="shared" si="141"/>
        <v>0</v>
      </c>
      <c r="AI172" s="526">
        <f t="shared" si="142"/>
        <v>5543501.6911830753</v>
      </c>
      <c r="AJ172" s="526">
        <f t="shared" si="143"/>
        <v>1108700.3382366151</v>
      </c>
      <c r="AK172" s="526">
        <f t="shared" si="144"/>
        <v>0</v>
      </c>
      <c r="AL172" s="526">
        <f t="shared" si="145"/>
        <v>0</v>
      </c>
      <c r="AM172" s="768">
        <f t="shared" si="146"/>
        <v>6652202.0294196904</v>
      </c>
      <c r="AN172" s="766">
        <f t="shared" si="147"/>
        <v>64135234.843826428</v>
      </c>
      <c r="AO172" s="526">
        <f t="shared" si="148"/>
        <v>0</v>
      </c>
      <c r="AP172" s="526">
        <f t="shared" si="149"/>
        <v>32067617.421913214</v>
      </c>
      <c r="AQ172" s="526">
        <f t="shared" si="150"/>
        <v>45271930.47799512</v>
      </c>
      <c r="AR172" s="526">
        <f t="shared" si="151"/>
        <v>1886330.4365831299</v>
      </c>
      <c r="AS172" s="526">
        <f t="shared" si="152"/>
        <v>0</v>
      </c>
      <c r="AT172" s="768">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17">
        <f>'Recycling - Case 2'!E111</f>
        <v>1</v>
      </c>
      <c r="D173" s="525">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971">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17">
        <f>'Recycling - Case 2'!E112</f>
        <v>1</v>
      </c>
      <c r="D174" s="525">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971">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17">
        <f>'Recycling - Case 2'!E113</f>
        <v>1</v>
      </c>
      <c r="D175" s="525">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971">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17">
        <f>'Recycling - Case 2'!E114</f>
        <v>1</v>
      </c>
      <c r="D176" s="525">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971">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17">
        <f>'Recycling - Case 2'!E115</f>
        <v>1</v>
      </c>
      <c r="D177" s="525">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971">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17">
        <f>'Recycling - Case 2'!E116</f>
        <v>1</v>
      </c>
      <c r="D178" s="525">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971">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17">
        <f>'Recycling - Case 2'!E117</f>
        <v>1</v>
      </c>
      <c r="D179" s="525">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971">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17">
        <f>'Recycling - Case 2'!E118</f>
        <v>1</v>
      </c>
      <c r="D180" s="525">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971">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17">
        <f>'Recycling - Case 2'!E119</f>
        <v>1</v>
      </c>
      <c r="D181" s="525">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971">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17">
        <f>'Recycling - Case 2'!E120</f>
        <v>1</v>
      </c>
      <c r="D182" s="525">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971">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17">
        <f>'Recycling - Case 2'!E121</f>
        <v>1</v>
      </c>
      <c r="D183" s="525">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971">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17">
        <f>'Recycling - Case 2'!E122</f>
        <v>1</v>
      </c>
      <c r="D184" s="525">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971">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17">
        <f>'Recycling - Case 2'!E123</f>
        <v>1</v>
      </c>
      <c r="D185" s="525">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971">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17">
        <f>'Recycling - Case 2'!E124</f>
        <v>1</v>
      </c>
      <c r="D186" s="525">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971">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17">
        <f>'Recycling - Case 2'!E125</f>
        <v>1</v>
      </c>
      <c r="D187" s="525">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971">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17">
        <f>'Recycling - Case 2'!E126</f>
        <v>1</v>
      </c>
      <c r="D188" s="525">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971">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17">
        <f>'Recycling - Case 2'!E127</f>
        <v>1</v>
      </c>
      <c r="D189" s="525">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971">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17">
        <f>'Recycling - Case 2'!E128</f>
        <v>1</v>
      </c>
      <c r="D190" s="525">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971">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17">
        <f>'Recycling - Case 2'!E129</f>
        <v>1</v>
      </c>
      <c r="D191" s="525">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971">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651">
        <f>'Recycling - Case 2'!E130</f>
        <v>1</v>
      </c>
      <c r="D192" s="652">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972">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975" t="s">
        <v>620</v>
      </c>
      <c r="B193" s="976"/>
      <c r="C193" s="943"/>
      <c r="D193" s="976"/>
      <c r="E193" s="977"/>
      <c r="F193" s="977"/>
      <c r="G193" s="1438"/>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59.991580449204264</v>
      </c>
      <c r="C197" s="417">
        <f>'Recycling - Case 3'!E101</f>
        <v>0.80255384615384628</v>
      </c>
      <c r="D197" s="525">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971">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973">
        <f t="shared" si="213"/>
        <v>3.0248585614028385</v>
      </c>
    </row>
    <row r="198" spans="1:49">
      <c r="A198" s="127">
        <f>'Input data'!A122</f>
        <v>2022</v>
      </c>
      <c r="B198" s="105">
        <f>'Input data'!B122</f>
        <v>60.682333816399378</v>
      </c>
      <c r="C198" s="417">
        <f>'Recycling - Case 3'!E102</f>
        <v>0.82449230769230786</v>
      </c>
      <c r="D198" s="525">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971">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973">
        <f t="shared" si="213"/>
        <v>3.0596873027184164</v>
      </c>
    </row>
    <row r="199" spans="1:49">
      <c r="A199" s="127">
        <f>'Input data'!A123</f>
        <v>2023</v>
      </c>
      <c r="B199" s="105">
        <f>'Input data'!B123</f>
        <v>61.381040636574369</v>
      </c>
      <c r="C199" s="417">
        <f>'Recycling - Case 3'!E103</f>
        <v>0.84643076923076943</v>
      </c>
      <c r="D199" s="525">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971">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973">
        <f t="shared" si="213"/>
        <v>3.0949170681470224</v>
      </c>
    </row>
    <row r="200" spans="1:49">
      <c r="A200" s="127">
        <f>'Input data'!A124</f>
        <v>2024</v>
      </c>
      <c r="B200" s="105">
        <f>'Input data'!B124</f>
        <v>62.087792487153699</v>
      </c>
      <c r="C200" s="417">
        <f>'Recycling - Case 3'!E104</f>
        <v>0.868369230769231</v>
      </c>
      <c r="D200" s="525">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971">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973">
        <f t="shared" si="213"/>
        <v>3.1305524751492158</v>
      </c>
    </row>
    <row r="201" spans="1:49">
      <c r="A201" s="127">
        <f>'Input data'!A125</f>
        <v>2025</v>
      </c>
      <c r="B201" s="105">
        <f>'Input data'!B125</f>
        <v>62.802682000000026</v>
      </c>
      <c r="C201" s="417">
        <f>'Recycling - Case 3'!E105</f>
        <v>0.89030769230769258</v>
      </c>
      <c r="D201" s="525">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971">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973">
        <f t="shared" si="213"/>
        <v>3.166598194351784</v>
      </c>
    </row>
    <row r="202" spans="1:49">
      <c r="A202" s="127">
        <f>'Input data'!A126</f>
        <v>2026</v>
      </c>
      <c r="B202" s="105">
        <f>'Input data'!B126</f>
        <v>63.421065342005143</v>
      </c>
      <c r="C202" s="417">
        <f>'Recycling - Case 3'!E106</f>
        <v>0.91224615384615415</v>
      </c>
      <c r="D202" s="525">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971">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973">
        <f t="shared" si="213"/>
        <v>3.1977779387807019</v>
      </c>
    </row>
    <row r="203" spans="1:49">
      <c r="A203" s="127">
        <f>'Input data'!A127</f>
        <v>2027</v>
      </c>
      <c r="B203" s="105">
        <f>'Input data'!B127</f>
        <v>64.045537563425796</v>
      </c>
      <c r="C203" s="417">
        <f>'Recycling - Case 3'!E107</f>
        <v>0.93418461538461572</v>
      </c>
      <c r="D203" s="525">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971">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973">
        <f t="shared" ref="AW203:AW219" si="253">((B203*$C$46*$C$47*$C$48*$C$49)-$C$50)*$C$51*$C$52</f>
        <v>3.2292646929415123</v>
      </c>
    </row>
    <row r="204" spans="1:49">
      <c r="A204" s="127">
        <f>'Input data'!A128</f>
        <v>2028</v>
      </c>
      <c r="B204" s="105">
        <f>'Input data'!B128</f>
        <v>64.676158618096451</v>
      </c>
      <c r="C204" s="417">
        <f>'Recycling - Case 3'!E108</f>
        <v>0.9561230769230773</v>
      </c>
      <c r="D204" s="525">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971">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973">
        <f t="shared" si="253"/>
        <v>3.2610614797895683</v>
      </c>
    </row>
    <row r="205" spans="1:49">
      <c r="A205" s="127">
        <f>'Input data'!A129</f>
        <v>2029</v>
      </c>
      <c r="B205" s="105">
        <f>'Input data'!B129</f>
        <v>65.31298905018393</v>
      </c>
      <c r="C205" s="417">
        <f>'Recycling - Case 3'!E109</f>
        <v>0.97806153846153887</v>
      </c>
      <c r="D205" s="525">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971">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973">
        <f t="shared" si="253"/>
        <v>3.2931713520456056</v>
      </c>
    </row>
    <row r="206" spans="1:49">
      <c r="A206" s="127">
        <f>'Input data'!A130</f>
        <v>2030</v>
      </c>
      <c r="B206" s="105">
        <f>'Input data'!B130</f>
        <v>65.956090000000003</v>
      </c>
      <c r="C206" s="417">
        <f>'Recycling - Case 3'!E110</f>
        <v>1</v>
      </c>
      <c r="D206" s="525">
        <f>'Recycling - Case 3'!F110</f>
        <v>0.37</v>
      </c>
      <c r="E206" s="235">
        <f t="shared" si="188"/>
        <v>1026574387.2561252</v>
      </c>
      <c r="F206" s="236">
        <v>0</v>
      </c>
      <c r="G206" s="237">
        <f t="shared" si="189"/>
        <v>1026574387.2561252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971">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973">
        <f t="shared" si="253"/>
        <v>3.3255973924888065</v>
      </c>
    </row>
    <row r="207" spans="1:49">
      <c r="A207" s="127">
        <f>'Input data'!A131</f>
        <v>2031</v>
      </c>
      <c r="B207" s="105">
        <f>'Input data'!B131</f>
        <v>66.518977190687664</v>
      </c>
      <c r="C207" s="417">
        <f>'Recycling - Case 3'!E111</f>
        <v>1</v>
      </c>
      <c r="D207" s="525">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971">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973">
        <f t="shared" si="253"/>
        <v>3.3539789441183268</v>
      </c>
    </row>
    <row r="208" spans="1:49">
      <c r="A208" s="127">
        <f>'Input data'!A132</f>
        <v>2032</v>
      </c>
      <c r="B208" s="105">
        <f>'Input data'!B132</f>
        <v>67.08666821358311</v>
      </c>
      <c r="C208" s="417">
        <f>'Recycling - Case 3'!E112</f>
        <v>1</v>
      </c>
      <c r="D208" s="525">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971">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973">
        <f t="shared" si="253"/>
        <v>3.3826027116200144</v>
      </c>
    </row>
    <row r="209" spans="1:49">
      <c r="A209" s="127">
        <f>'Input data'!A133</f>
        <v>2033</v>
      </c>
      <c r="B209" s="105">
        <f>'Input data'!B133</f>
        <v>67.659204065895452</v>
      </c>
      <c r="C209" s="417">
        <f>'Recycling - Case 3'!E113</f>
        <v>1</v>
      </c>
      <c r="D209" s="525">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971">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973">
        <f t="shared" si="253"/>
        <v>3.4114707621299263</v>
      </c>
    </row>
    <row r="210" spans="1:49">
      <c r="A210" s="127">
        <f>'Input data'!A134</f>
        <v>2034</v>
      </c>
      <c r="B210" s="105">
        <f>'Input data'!B134</f>
        <v>68.236626094715163</v>
      </c>
      <c r="C210" s="417">
        <f>'Recycling - Case 3'!E114</f>
        <v>1</v>
      </c>
      <c r="D210" s="525">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971">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973">
        <f t="shared" si="253"/>
        <v>3.4405851804256198</v>
      </c>
    </row>
    <row r="211" spans="1:49">
      <c r="A211" s="127">
        <f>'Input data'!A135</f>
        <v>2035</v>
      </c>
      <c r="B211" s="105">
        <f>'Input data'!B135</f>
        <v>68.818976000000006</v>
      </c>
      <c r="C211" s="417">
        <f>'Recycling - Case 3'!E115</f>
        <v>1</v>
      </c>
      <c r="D211" s="525">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971">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973">
        <f t="shared" si="253"/>
        <v>3.4699480690767106</v>
      </c>
    </row>
    <row r="212" spans="1:49">
      <c r="A212" s="127">
        <f>'Input data'!A136</f>
        <v>2036</v>
      </c>
      <c r="B212" s="105">
        <f>'Input data'!B136</f>
        <v>69.322810489383542</v>
      </c>
      <c r="C212" s="417">
        <f>'Recycling - Case 3'!E116</f>
        <v>1</v>
      </c>
      <c r="D212" s="525">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971">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973">
        <f t="shared" si="253"/>
        <v>3.4953521017314642</v>
      </c>
    </row>
    <row r="213" spans="1:49">
      <c r="A213" s="127">
        <f>'Input data'!A137</f>
        <v>2037</v>
      </c>
      <c r="B213" s="105">
        <f>'Input data'!B137</f>
        <v>69.830333629884052</v>
      </c>
      <c r="C213" s="417">
        <f>'Recycling - Case 3'!E117</f>
        <v>1</v>
      </c>
      <c r="D213" s="525">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971">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973">
        <f t="shared" si="253"/>
        <v>3.5209421212835057</v>
      </c>
    </row>
    <row r="214" spans="1:49">
      <c r="A214" s="127">
        <f>'Input data'!A138</f>
        <v>2038</v>
      </c>
      <c r="B214" s="105">
        <f>'Input data'!B138</f>
        <v>70.341572426693446</v>
      </c>
      <c r="C214" s="417">
        <f>'Recycling - Case 3'!E118</f>
        <v>1</v>
      </c>
      <c r="D214" s="525">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971">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973">
        <f t="shared" si="253"/>
        <v>3.5467194893720086</v>
      </c>
    </row>
    <row r="215" spans="1:49">
      <c r="A215" s="127">
        <f>'Input data'!A139</f>
        <v>2039</v>
      </c>
      <c r="B215" s="105">
        <f>'Input data'!B139</f>
        <v>70.856554082712819</v>
      </c>
      <c r="C215" s="417">
        <f>'Recycling - Case 3'!E119</f>
        <v>1</v>
      </c>
      <c r="D215" s="525">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971">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973">
        <f t="shared" si="253"/>
        <v>3.5726855776049167</v>
      </c>
    </row>
    <row r="216" spans="1:49">
      <c r="A216" s="127">
        <f>'Input data'!A140</f>
        <v>2040</v>
      </c>
      <c r="B216" s="105">
        <f>'Input data'!B140</f>
        <v>71.375305999999995</v>
      </c>
      <c r="C216" s="417">
        <f>'Recycling - Case 3'!E120</f>
        <v>1</v>
      </c>
      <c r="D216" s="525">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971">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973">
        <f t="shared" si="253"/>
        <v>3.5988417676319293</v>
      </c>
    </row>
    <row r="217" spans="1:49">
      <c r="A217" s="127">
        <f>'Input data'!A141</f>
        <v>2041</v>
      </c>
      <c r="B217" s="105">
        <f>'Input data'!B141</f>
        <v>71.818612994947316</v>
      </c>
      <c r="C217" s="417">
        <f>'Recycling - Case 3'!E121</f>
        <v>1</v>
      </c>
      <c r="D217" s="525">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971">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973">
        <f t="shared" si="253"/>
        <v>3.6211939201999317</v>
      </c>
    </row>
    <row r="218" spans="1:49">
      <c r="A218" s="127">
        <f>'Input data'!A142</f>
        <v>2042</v>
      </c>
      <c r="B218" s="105">
        <f>'Input data'!B142</f>
        <v>72.264673338395411</v>
      </c>
      <c r="C218" s="417">
        <f>'Recycling - Case 3'!E122</f>
        <v>1</v>
      </c>
      <c r="D218" s="525">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971">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973">
        <f t="shared" si="253"/>
        <v>3.6436849004121257</v>
      </c>
    </row>
    <row r="219" spans="1:49">
      <c r="A219" s="127">
        <f>'Input data'!A143</f>
        <v>2043</v>
      </c>
      <c r="B219" s="105">
        <f>'Input data'!B143</f>
        <v>72.713504131197794</v>
      </c>
      <c r="C219" s="417">
        <f>'Recycling - Case 3'!E123</f>
        <v>1</v>
      </c>
      <c r="D219" s="525">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971">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973">
        <f t="shared" si="253"/>
        <v>3.666315570517225</v>
      </c>
    </row>
    <row r="220" spans="1:49">
      <c r="A220" s="127">
        <f>'Input data'!A144</f>
        <v>2044</v>
      </c>
      <c r="B220" s="105">
        <f>'Input data'!B144</f>
        <v>73.165122580420132</v>
      </c>
      <c r="C220" s="417">
        <f>'Recycling - Case 3'!E124</f>
        <v>1</v>
      </c>
      <c r="D220" s="525">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971">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973">
        <f t="shared" ref="AW220:AW226" si="295">((B220*$C$46*$C$47*$C$48*$C$49)-$C$50)*$C$51*$C$52</f>
        <v>3.6890867981193103</v>
      </c>
    </row>
    <row r="221" spans="1:49">
      <c r="A221" s="127">
        <f>'Input data'!A145</f>
        <v>2045</v>
      </c>
      <c r="B221" s="105">
        <f>'Input data'!B145</f>
        <v>73.619545999999971</v>
      </c>
      <c r="C221" s="417">
        <f>'Recycling - Case 3'!E125</f>
        <v>1</v>
      </c>
      <c r="D221" s="525">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971">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973">
        <f t="shared" si="295"/>
        <v>3.711999456211089</v>
      </c>
    </row>
    <row r="222" spans="1:49">
      <c r="A222" s="127">
        <f>'Input data'!A146</f>
        <v>2046</v>
      </c>
      <c r="B222" s="105">
        <f>'Input data'!B146</f>
        <v>73.995362001779526</v>
      </c>
      <c r="C222" s="417">
        <f>'Recycling - Case 3'!E126</f>
        <v>1</v>
      </c>
      <c r="D222" s="525">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971">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973">
        <f t="shared" si="295"/>
        <v>3.7309486194433799</v>
      </c>
    </row>
    <row r="223" spans="1:49">
      <c r="A223" s="127">
        <f>'Input data'!A147</f>
        <v>2047</v>
      </c>
      <c r="B223" s="105">
        <f>'Input data'!B147</f>
        <v>74.373096484110363</v>
      </c>
      <c r="C223" s="417">
        <f>'Recycling - Case 3'!E127</f>
        <v>1</v>
      </c>
      <c r="D223" s="525">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971">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973">
        <f t="shared" si="295"/>
        <v>3.74999451512174</v>
      </c>
    </row>
    <row r="224" spans="1:49">
      <c r="A224" s="127">
        <f>'Input data'!A148</f>
        <v>2048</v>
      </c>
      <c r="B224" s="105">
        <f>'Input data'!B148</f>
        <v>74.752759240528661</v>
      </c>
      <c r="C224" s="417">
        <f>'Recycling - Case 3'!E128</f>
        <v>1</v>
      </c>
      <c r="D224" s="525">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971">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973">
        <f t="shared" si="295"/>
        <v>3.769137637049826</v>
      </c>
    </row>
    <row r="225" spans="1:49">
      <c r="A225" s="127">
        <f>'Input data'!A149</f>
        <v>2049</v>
      </c>
      <c r="B225" s="105">
        <f>'Input data'!B149</f>
        <v>75.134360114565098</v>
      </c>
      <c r="C225" s="417">
        <f>'Recycling - Case 3'!E129</f>
        <v>1</v>
      </c>
      <c r="D225" s="525">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971">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973">
        <f t="shared" si="295"/>
        <v>3.7883784815520856</v>
      </c>
    </row>
    <row r="226" spans="1:49" ht="15.75" thickBot="1">
      <c r="A226" s="172">
        <f>'Input data'!A150</f>
        <v>2050</v>
      </c>
      <c r="B226" s="962">
        <f>'Input data'!B150</f>
        <v>75.517908999999989</v>
      </c>
      <c r="C226" s="651">
        <f>'Recycling - Case 3'!E130</f>
        <v>1</v>
      </c>
      <c r="D226" s="652">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972">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974">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4"/>
      <c r="B5" s="2015"/>
      <c r="C5" s="2020" t="s">
        <v>53</v>
      </c>
      <c r="D5" s="2021"/>
      <c r="E5" s="2021"/>
      <c r="F5" s="2022"/>
      <c r="G5" s="2020" t="s">
        <v>54</v>
      </c>
      <c r="H5" s="2021"/>
      <c r="I5" s="2021"/>
      <c r="J5" s="2022"/>
      <c r="L5" s="53"/>
      <c r="M5" s="54" t="s">
        <v>128</v>
      </c>
      <c r="N5" s="54" t="s">
        <v>129</v>
      </c>
      <c r="O5" s="55" t="s">
        <v>130</v>
      </c>
      <c r="Q5" s="2013" t="s">
        <v>144</v>
      </c>
      <c r="R5" s="2013"/>
      <c r="S5" s="2013"/>
      <c r="T5" s="2013"/>
      <c r="U5" s="2013"/>
      <c r="V5" s="56"/>
      <c r="W5" s="56"/>
    </row>
    <row r="6" spans="1:23" ht="15.75" thickBot="1">
      <c r="A6" s="2016"/>
      <c r="B6" s="2017"/>
      <c r="C6" s="2023" t="s">
        <v>55</v>
      </c>
      <c r="D6" s="2024"/>
      <c r="E6" s="2023" t="s">
        <v>56</v>
      </c>
      <c r="F6" s="2024"/>
      <c r="G6" s="2023" t="s">
        <v>55</v>
      </c>
      <c r="H6" s="2024"/>
      <c r="I6" s="2025" t="s">
        <v>57</v>
      </c>
      <c r="J6" s="2026"/>
      <c r="L6" s="54" t="s">
        <v>131</v>
      </c>
      <c r="M6" s="73" t="s">
        <v>132</v>
      </c>
      <c r="N6" s="74"/>
      <c r="O6" s="75" t="s">
        <v>133</v>
      </c>
      <c r="Q6" s="2013"/>
      <c r="R6" s="2013"/>
      <c r="S6" s="2013"/>
      <c r="T6" s="2013"/>
      <c r="U6" s="2013"/>
      <c r="V6" s="38"/>
      <c r="W6" s="38"/>
    </row>
    <row r="7" spans="1:23" ht="15.75" thickBot="1">
      <c r="A7" s="2018" t="s">
        <v>58</v>
      </c>
      <c r="B7" s="2019"/>
      <c r="C7" s="67" t="s">
        <v>59</v>
      </c>
      <c r="D7" s="68" t="s">
        <v>60</v>
      </c>
      <c r="E7" s="67" t="s">
        <v>59</v>
      </c>
      <c r="F7" s="68" t="s">
        <v>60</v>
      </c>
      <c r="G7" s="67" t="s">
        <v>59</v>
      </c>
      <c r="H7" s="68" t="s">
        <v>60</v>
      </c>
      <c r="I7" s="67" t="s">
        <v>59</v>
      </c>
      <c r="J7" s="68" t="s">
        <v>60</v>
      </c>
      <c r="L7" s="54" t="s">
        <v>134</v>
      </c>
      <c r="M7" s="76" t="s">
        <v>132</v>
      </c>
      <c r="N7" s="77"/>
      <c r="O7" s="78" t="s">
        <v>135</v>
      </c>
      <c r="Q7" s="2013"/>
      <c r="R7" s="2013"/>
      <c r="S7" s="2013"/>
      <c r="T7" s="2013"/>
      <c r="U7" s="2013"/>
      <c r="V7" s="38"/>
      <c r="W7" s="38"/>
    </row>
    <row r="8" spans="1:23" ht="15.75" thickBot="1">
      <c r="A8" s="2027"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3"/>
      <c r="R8" s="2013"/>
      <c r="S8" s="2013"/>
      <c r="T8" s="2013"/>
      <c r="U8" s="2013"/>
      <c r="V8" s="38"/>
      <c r="W8" s="38"/>
    </row>
    <row r="9" spans="1:23" ht="30.75" thickBot="1">
      <c r="A9" s="2028"/>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3"/>
      <c r="R9" s="2013"/>
      <c r="S9" s="2013"/>
      <c r="T9" s="2013"/>
      <c r="U9" s="2013"/>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29" t="s">
        <v>160</v>
      </c>
      <c r="C20" s="2030"/>
      <c r="D20" s="53"/>
      <c r="E20" s="53"/>
      <c r="F20" s="53"/>
      <c r="G20" s="53"/>
      <c r="H20" s="7"/>
      <c r="M20" s="53"/>
      <c r="N20" s="57"/>
      <c r="O20" s="58"/>
    </row>
    <row r="21" spans="1:15">
      <c r="A21" s="70">
        <v>35</v>
      </c>
      <c r="B21" s="2007">
        <f>LN(2)/A21</f>
        <v>1.980420515885558E-2</v>
      </c>
      <c r="C21" s="2008"/>
      <c r="D21" s="53"/>
      <c r="E21" s="53"/>
      <c r="F21" s="53"/>
      <c r="G21" s="53"/>
      <c r="H21" s="7"/>
      <c r="M21" s="53"/>
      <c r="N21" s="57"/>
      <c r="O21" s="58"/>
    </row>
    <row r="22" spans="1:15" ht="17.25">
      <c r="A22" s="63" t="s">
        <v>161</v>
      </c>
      <c r="B22" s="2009" t="s">
        <v>149</v>
      </c>
      <c r="C22" s="2010"/>
      <c r="D22" s="53"/>
      <c r="E22" s="53"/>
      <c r="F22" s="53"/>
      <c r="G22" s="53"/>
      <c r="H22" s="7"/>
      <c r="M22" s="53"/>
      <c r="N22" s="15"/>
      <c r="O22" s="53"/>
    </row>
    <row r="23" spans="1:15" ht="15.75" thickBot="1">
      <c r="A23" s="69">
        <v>0.05</v>
      </c>
      <c r="B23" s="2011">
        <f>LN(2)/A23</f>
        <v>13.862943611198904</v>
      </c>
      <c r="C23" s="2012"/>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1"/>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09"/>
      <c r="C42" s="1409"/>
      <c r="D42" s="1409"/>
      <c r="E42" s="1409"/>
      <c r="F42" s="1409"/>
      <c r="G42" s="1409"/>
      <c r="H42" s="1409"/>
      <c r="I42" s="1409"/>
      <c r="J42" s="1410"/>
    </row>
    <row r="43" spans="1:15" ht="30">
      <c r="A43" s="40" t="s">
        <v>103</v>
      </c>
      <c r="B43" s="1408" t="s">
        <v>83</v>
      </c>
      <c r="C43" s="1408" t="s">
        <v>85</v>
      </c>
      <c r="D43" s="1408" t="s">
        <v>87</v>
      </c>
      <c r="E43" s="1408" t="s">
        <v>89</v>
      </c>
      <c r="F43" s="1408" t="s">
        <v>91</v>
      </c>
      <c r="G43" s="1408" t="s">
        <v>93</v>
      </c>
      <c r="H43" s="1408" t="s">
        <v>107</v>
      </c>
      <c r="I43" s="1408" t="s">
        <v>104</v>
      </c>
      <c r="J43" s="1408"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6">
        <v>0</v>
      </c>
      <c r="C48" s="1406">
        <v>0</v>
      </c>
      <c r="D48" s="1406">
        <v>0.01</v>
      </c>
      <c r="E48" s="1406">
        <v>0</v>
      </c>
      <c r="F48" s="1406">
        <v>0.2</v>
      </c>
      <c r="G48" s="1406">
        <v>0.1</v>
      </c>
      <c r="H48" s="1406">
        <v>1</v>
      </c>
      <c r="I48" s="11">
        <v>1</v>
      </c>
      <c r="J48" s="11">
        <v>0</v>
      </c>
      <c r="K48" s="11">
        <v>0</v>
      </c>
      <c r="L48" s="11">
        <v>1</v>
      </c>
    </row>
    <row r="49" spans="1:20">
      <c r="A49" s="16"/>
      <c r="B49" s="1407"/>
      <c r="C49" s="1407"/>
      <c r="D49" s="1407"/>
      <c r="E49" s="1407"/>
      <c r="F49" s="1407"/>
      <c r="G49" s="1407"/>
      <c r="H49" s="1407"/>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2022-06-08T07:46:38Z</dcterms:modified>
</cp:coreProperties>
</file>